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结论" sheetId="1" state="visible" r:id="rId1"/>
    <sheet xmlns:r="http://schemas.openxmlformats.org/officeDocument/2006/relationships" name="三选一对比" sheetId="2" state="visible" r:id="rId2"/>
    <sheet xmlns:r="http://schemas.openxmlformats.org/officeDocument/2006/relationships" name="参数" sheetId="3" state="visible" r:id="rId3"/>
    <sheet xmlns:r="http://schemas.openxmlformats.org/officeDocument/2006/relationships" name="年度测算" sheetId="4" state="visible" r:id="rId4"/>
    <sheet xmlns:r="http://schemas.openxmlformats.org/officeDocument/2006/relationships" name="说明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0.0%"/>
    <numFmt numFmtId="165" formatCode="0.000"/>
    <numFmt numFmtId="166" formatCode="#,##0.00;[Red](#,##0.00);&quot;-&quot;"/>
    <numFmt numFmtId="167" formatCode="0.0%;[Red](0.0%);&quot;-&quot;"/>
    <numFmt numFmtId="168" formatCode="0.00;[Red](0.00);&quot;-&quot;"/>
    <numFmt numFmtId="169" formatCode="#,##0;[Red](#,##0);&quot;-&quot;"/>
  </numFmts>
  <fonts count="35">
    <font>
      <name val="Calibri"/>
      <color theme="1"/>
      <sz val="11"/>
    </font>
    <font>
      <name val="Arial"/>
      <sz val="10"/>
    </font>
    <font>
      <name val="Arial"/>
      <sz val="10"/>
    </font>
    <font>
      <name val="Arial"/>
      <sz val="10"/>
    </font>
    <font>
      <name val="Cambria"/>
      <b val="1"/>
      <sz val="14"/>
    </font>
    <font>
      <name val="Noto Sans CJK SC"/>
      <b val="1"/>
      <sz val="14"/>
    </font>
    <font>
      <name val="Noto Sans CJK SC"/>
      <color theme="1"/>
      <sz val="11"/>
    </font>
    <font>
      <name val="Noto Sans CJK SC"/>
      <b val="1"/>
      <color rgb="FFFFFFFF"/>
      <sz val="11"/>
    </font>
    <font>
      <name val="Cambria"/>
      <b val="1"/>
      <sz val="12"/>
    </font>
    <font>
      <name val="Cambria"/>
      <b val="1"/>
      <color rgb="FFFFFFFF"/>
      <sz val="11"/>
    </font>
    <font>
      <name val="Noto Sans CJK SC"/>
      <b val="1"/>
      <sz val="13"/>
    </font>
    <font>
      <name val="Cambria"/>
      <b val="1"/>
      <sz val="13"/>
    </font>
    <font>
      <name val="Cambria"/>
      <b val="1"/>
      <color rgb="FFC00000"/>
      <sz val="11"/>
    </font>
    <font>
      <name val="Noto Sans CJK SC"/>
      <b val="1"/>
      <sz val="11"/>
    </font>
    <font>
      <name val="Microsoft YaHei"/>
      <b val="1"/>
      <color rgb="FF183854"/>
      <sz val="15"/>
    </font>
    <font>
      <name val="Microsoft YaHei"/>
      <color theme="1"/>
      <sz val="11"/>
    </font>
    <font>
      <name val="Microsoft YaHei"/>
      <color theme="1"/>
      <sz val="10"/>
    </font>
    <font>
      <name val="Microsoft YaHei"/>
      <color rgb="FF51677E"/>
      <sz val="10"/>
    </font>
    <font>
      <name val="Calibri"/>
      <color rgb="FF8A5B00"/>
      <sz val="11"/>
    </font>
    <font>
      <name val="Calibri"/>
      <b val="1"/>
      <color rgb="FF8A5B00"/>
      <sz val="11"/>
    </font>
    <font>
      <name val="Calibri"/>
      <b val="1"/>
      <color theme="1"/>
      <sz val="11"/>
    </font>
    <font>
      <name val="Microsoft YaHei"/>
      <color rgb="FF3F566D"/>
      <sz val="10"/>
    </font>
    <font>
      <name val="Microsoft YaHei"/>
      <color rgb="FF40546B"/>
      <sz val="10"/>
    </font>
    <font>
      <name val="Microsoft YaHei"/>
      <color rgb="FF1F4A70"/>
      <sz val="10"/>
    </font>
    <font>
      <name val="Microsoft YaHei"/>
      <b val="1"/>
      <color rgb="FFFFFFFF"/>
      <sz val="11"/>
    </font>
    <font>
      <name val="Microsoft YaHei"/>
      <b val="1"/>
      <sz val="12"/>
    </font>
    <font>
      <name val="Microsoft YaHei"/>
      <b val="1"/>
      <color rgb="FFC00000"/>
      <sz val="11"/>
    </font>
    <font>
      <name val="Microsoft YaHei"/>
      <b val="1"/>
      <sz val="11"/>
    </font>
    <font>
      <name val="Microsoft YaHei"/>
      <color rgb="FF1644B4"/>
      <sz val="11"/>
    </font>
    <font>
      <name val="Microsoft YaHei"/>
      <b val="1"/>
      <color rgb="FF1644B4"/>
      <sz val="11"/>
    </font>
    <font>
      <name val="Microsoft YaHei"/>
      <color rgb="FF1D3552"/>
      <sz val="11"/>
    </font>
    <font>
      <name val="Microsoft YaHei"/>
      <b val="1"/>
      <color rgb="FF1D3552"/>
      <sz val="12"/>
    </font>
    <font>
      <name val="Calibri"/>
      <b val="1"/>
      <color rgb="FF8A5B00"/>
      <sz val="10"/>
    </font>
    <font>
      <name val="Microsoft YaHei"/>
      <b val="1"/>
      <color theme="1"/>
      <sz val="11"/>
    </font>
    <font>
      <name val="Microsoft YaHei"/>
      <b val="1"/>
      <color rgb="FF1D3552"/>
      <sz val="11"/>
    </font>
  </fonts>
  <fills count="11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E2EFDA"/>
      </patternFill>
    </fill>
    <fill>
      <patternFill patternType="solid">
        <fgColor rgb="FFFFF2CC"/>
      </patternFill>
    </fill>
    <fill>
      <patternFill patternType="solid">
        <fgColor rgb="FFEAF2F9"/>
      </patternFill>
    </fill>
    <fill>
      <patternFill patternType="solid">
        <fgColor rgb="FFF9E7B4"/>
      </patternFill>
    </fill>
    <fill>
      <patternFill patternType="solid">
        <fgColor rgb="FFF4F8FC"/>
      </patternFill>
    </fill>
    <fill>
      <patternFill patternType="solid">
        <fgColor rgb="FFFFF2C6"/>
      </patternFill>
    </fill>
    <fill>
      <patternFill patternType="solid">
        <fgColor rgb="FF244F76"/>
      </patternFill>
    </fill>
    <fill>
      <patternFill patternType="solid">
        <fgColor rgb="FFF5F8FC"/>
      </patternFill>
    </fill>
  </fills>
  <borders count="2">
    <border/>
    <border/>
  </borders>
  <cellStyleXfs count="6">
    <xf numFmtId="0" fontId="0" fillId="0" borderId="1" applyAlignment="1">
      <alignment horizontal="general" vertical="bottom"/>
    </xf>
    <xf numFmtId="43" fontId="3" fillId="0" borderId="1"/>
    <xf numFmtId="41" fontId="3" fillId="0" borderId="1"/>
    <xf numFmtId="44" fontId="3" fillId="0" borderId="1"/>
    <xf numFmtId="42" fontId="3" fillId="0" borderId="1"/>
    <xf numFmtId="9" fontId="3" fillId="0" borderId="1"/>
  </cellStyleXfs>
  <cellXfs count="269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general" vertical="bottom"/>
    </xf>
    <xf numFmtId="3" fontId="0" fillId="3" borderId="0" applyAlignment="1" pivotButton="0" quotePrefix="0" xfId="0">
      <alignment horizontal="general" vertical="bottom"/>
    </xf>
    <xf numFmtId="164" fontId="0" fillId="3" borderId="0" applyAlignment="1" pivotButton="0" quotePrefix="0" xfId="0">
      <alignment horizontal="general" vertical="bottom"/>
    </xf>
    <xf numFmtId="2" fontId="0" fillId="3" borderId="0" applyAlignment="1" pivotButton="0" quotePrefix="0" xfId="0">
      <alignment horizontal="general" vertical="bottom"/>
    </xf>
    <xf numFmtId="3" fontId="8" fillId="3" borderId="0" applyAlignment="1" pivotButton="0" quotePrefix="0" xfId="0">
      <alignment horizontal="general" vertical="bottom"/>
    </xf>
    <xf numFmtId="9" fontId="0" fillId="4" borderId="0" applyAlignment="1" pivotButton="0" quotePrefix="0" xfId="0">
      <alignment horizontal="general" vertical="bottom"/>
    </xf>
    <xf numFmtId="3" fontId="0" fillId="0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0" fontId="0" fillId="4" borderId="0" applyAlignment="1" pivotButton="0" quotePrefix="0" xfId="0">
      <alignment horizontal="general" vertical="bottom"/>
    </xf>
    <xf numFmtId="164" fontId="0" fillId="0" borderId="0" applyAlignment="1" pivotButton="0" quotePrefix="0" xfId="0">
      <alignment horizontal="general" vertical="bottom"/>
    </xf>
    <xf numFmtId="4" fontId="0" fillId="0" borderId="0" applyAlignment="1" pivotButton="0" quotePrefix="0" xfId="0">
      <alignment horizontal="general" vertical="bottom"/>
    </xf>
    <xf numFmtId="165" fontId="0" fillId="3" borderId="0" applyAlignment="1" pivotButton="0" quotePrefix="0" xfId="0">
      <alignment horizontal="general" vertical="bottom"/>
    </xf>
    <xf numFmtId="2" fontId="0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bottom"/>
    </xf>
    <xf numFmtId="164" fontId="0" fillId="4" borderId="0" applyAlignment="1" pivotButton="0" quotePrefix="0" xfId="0">
      <alignment horizontal="general" vertical="bottom"/>
    </xf>
    <xf numFmtId="164" fontId="12" fillId="4" borderId="0" applyAlignment="1" pivotButton="0" quotePrefix="0" xfId="0">
      <alignment horizontal="general" vertical="bottom"/>
    </xf>
    <xf numFmtId="0" fontId="9" fillId="2" borderId="0" applyAlignment="1" pivotButton="0" quotePrefix="0" xfId="0">
      <alignment horizontal="general" vertical="bottom"/>
    </xf>
    <xf numFmtId="0" fontId="13" fillId="0" borderId="0" applyAlignment="1" pivotButton="0" quotePrefix="0" xfId="0">
      <alignment horizontal="general" vertical="bottom"/>
    </xf>
    <xf numFmtId="9" fontId="0" fillId="0" borderId="0" applyAlignment="1" pivotButton="0" quotePrefix="0" xfId="0">
      <alignment horizontal="general" vertical="bottom"/>
    </xf>
    <xf numFmtId="0" fontId="0" fillId="0" borderId="1" applyAlignment="1" pivotButton="0" quotePrefix="0" xfId="0">
      <alignment horizontal="general" vertical="bottom"/>
    </xf>
    <xf numFmtId="0" fontId="4" fillId="0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bottom"/>
    </xf>
    <xf numFmtId="0" fontId="7" fillId="2" borderId="1" applyAlignment="1" pivotButton="0" quotePrefix="0" xfId="0">
      <alignment horizontal="general" vertical="bottom"/>
    </xf>
    <xf numFmtId="3" fontId="0" fillId="3" borderId="1" applyAlignment="1" pivotButton="0" quotePrefix="0" xfId="0">
      <alignment horizontal="general" vertical="bottom"/>
    </xf>
    <xf numFmtId="164" fontId="0" fillId="3" borderId="1" applyAlignment="1" pivotButton="0" quotePrefix="0" xfId="0">
      <alignment horizontal="general" vertical="bottom"/>
    </xf>
    <xf numFmtId="2" fontId="0" fillId="3" borderId="1" applyAlignment="1" pivotButton="0" quotePrefix="0" xfId="0">
      <alignment horizontal="general" vertical="bottom"/>
    </xf>
    <xf numFmtId="3" fontId="8" fillId="3" borderId="1" applyAlignment="1" pivotButton="0" quotePrefix="0" xfId="0">
      <alignment horizontal="general" vertical="bottom"/>
    </xf>
    <xf numFmtId="9" fontId="0" fillId="4" borderId="1" applyAlignment="1" pivotButton="0" quotePrefix="0" xfId="0">
      <alignment horizontal="general" vertical="bottom"/>
    </xf>
    <xf numFmtId="3" fontId="0" fillId="0" borderId="1" applyAlignment="1" pivotButton="0" quotePrefix="0" xfId="0">
      <alignment horizontal="general" vertical="bottom"/>
    </xf>
    <xf numFmtId="0" fontId="10" fillId="0" borderId="1" applyAlignment="1" pivotButton="0" quotePrefix="0" xfId="0">
      <alignment horizontal="general" vertical="bottom"/>
    </xf>
    <xf numFmtId="0" fontId="0" fillId="4" borderId="1" applyAlignment="1" pivotButton="0" quotePrefix="0" xfId="0">
      <alignment horizontal="general" vertical="bottom"/>
    </xf>
    <xf numFmtId="164" fontId="0" fillId="0" borderId="1" applyAlignment="1" pivotButton="0" quotePrefix="0" xfId="0">
      <alignment horizontal="general" vertical="bottom"/>
    </xf>
    <xf numFmtId="4" fontId="0" fillId="0" borderId="1" applyAlignment="1" pivotButton="0" quotePrefix="0" xfId="0">
      <alignment horizontal="general" vertical="bottom"/>
    </xf>
    <xf numFmtId="165" fontId="0" fillId="3" borderId="1" applyAlignment="1" pivotButton="0" quotePrefix="0" xfId="0">
      <alignment horizontal="general" vertical="bottom"/>
    </xf>
    <xf numFmtId="2" fontId="0" fillId="0" borderId="1" applyAlignment="1" pivotButton="0" quotePrefix="0" xfId="0">
      <alignment horizontal="general" vertical="bottom"/>
    </xf>
    <xf numFmtId="0" fontId="11" fillId="0" borderId="1" applyAlignment="1" pivotButton="0" quotePrefix="0" xfId="0">
      <alignment horizontal="general" vertical="bottom"/>
    </xf>
    <xf numFmtId="164" fontId="0" fillId="4" borderId="1" applyAlignment="1" pivotButton="0" quotePrefix="0" xfId="0">
      <alignment horizontal="general" vertical="bottom"/>
    </xf>
    <xf numFmtId="164" fontId="12" fillId="4" borderId="1" applyAlignment="1" pivotButton="0" quotePrefix="0" xfId="0">
      <alignment horizontal="general" vertical="bottom"/>
    </xf>
    <xf numFmtId="0" fontId="9" fillId="2" borderId="1" applyAlignment="1" pivotButton="0" quotePrefix="0" xfId="0">
      <alignment horizontal="general" vertical="bottom"/>
    </xf>
    <xf numFmtId="0" fontId="13" fillId="0" borderId="1" applyAlignment="1" pivotButton="0" quotePrefix="0" xfId="0">
      <alignment horizontal="general" vertical="bottom"/>
    </xf>
    <xf numFmtId="9" fontId="0" fillId="0" borderId="1" applyAlignment="1" pivotButton="0" quotePrefix="0" xfId="0">
      <alignment horizontal="general" vertical="bottom"/>
    </xf>
    <xf numFmtId="0" fontId="4" fillId="5" borderId="0" applyAlignment="1" pivotButton="0" quotePrefix="0" xfId="0">
      <alignment horizontal="general" vertical="bottom"/>
    </xf>
    <xf numFmtId="0" fontId="0" fillId="5" borderId="0" applyAlignment="1" pivotButton="0" quotePrefix="0" xfId="0">
      <alignment horizontal="general" vertical="bottom"/>
    </xf>
    <xf numFmtId="0" fontId="14" fillId="5" borderId="0" applyAlignment="1" pivotButton="0" quotePrefix="0" xfId="0">
      <alignment horizontal="general" vertical="bottom"/>
    </xf>
    <xf numFmtId="0" fontId="14" fillId="5" borderId="0" applyAlignment="1" pivotButton="0" quotePrefix="0" xfId="0">
      <alignment horizontal="general" vertical="bottom" wrapText="1"/>
    </xf>
    <xf numFmtId="0" fontId="14" fillId="5" borderId="0" applyAlignment="1" pivotButton="0" quotePrefix="0" xfId="0">
      <alignment horizontal="general" vertical="center" wrapText="1"/>
    </xf>
    <xf numFmtId="0" fontId="4" fillId="5" borderId="1" applyAlignment="1" pivotButton="0" quotePrefix="0" xfId="0">
      <alignment horizontal="general" vertical="bottom"/>
    </xf>
    <xf numFmtId="0" fontId="0" fillId="5" borderId="1" applyAlignment="1" pivotButton="0" quotePrefix="0" xfId="0">
      <alignment horizontal="general" vertical="bottom"/>
    </xf>
    <xf numFmtId="0" fontId="14" fillId="5" borderId="1" applyAlignment="1" pivotButton="0" quotePrefix="0" xfId="0">
      <alignment horizontal="general" vertical="bottom"/>
    </xf>
    <xf numFmtId="0" fontId="14" fillId="5" borderId="1" applyAlignment="1" pivotButton="0" quotePrefix="0" xfId="0">
      <alignment horizontal="general" vertical="bottom" wrapText="1"/>
    </xf>
    <xf numFmtId="0" fontId="14" fillId="5" borderId="1" applyAlignment="1" pivotButton="0" quotePrefix="0" xfId="0">
      <alignment horizontal="general" vertical="center" wrapText="1"/>
    </xf>
    <xf numFmtId="0" fontId="10" fillId="5" borderId="0" applyAlignment="1" pivotButton="0" quotePrefix="0" xfId="0">
      <alignment horizontal="general" vertical="bottom"/>
    </xf>
    <xf numFmtId="0" fontId="10" fillId="5" borderId="1" applyAlignment="1" pivotButton="0" quotePrefix="0" xfId="0">
      <alignment horizontal="general" vertical="bottom"/>
    </xf>
    <xf numFmtId="0" fontId="11" fillId="5" borderId="0" applyAlignment="1" pivotButton="0" quotePrefix="0" xfId="0">
      <alignment horizontal="general" vertical="bottom"/>
    </xf>
    <xf numFmtId="0" fontId="11" fillId="5" borderId="1" applyAlignment="1" pivotButton="0" quotePrefix="0" xfId="0">
      <alignment horizontal="general" vertical="bottom"/>
    </xf>
    <xf numFmtId="0" fontId="13" fillId="5" borderId="0" applyAlignment="1" pivotButton="0" quotePrefix="0" xfId="0">
      <alignment horizontal="general" vertical="bottom"/>
    </xf>
    <xf numFmtId="0" fontId="13" fillId="5" borderId="1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 wrapText="1"/>
    </xf>
    <xf numFmtId="0" fontId="0" fillId="0" borderId="0" applyAlignment="1" pivotButton="0" quotePrefix="0" xfId="0">
      <alignment horizontal="general" vertical="bottom" wrapText="1"/>
    </xf>
    <xf numFmtId="0" fontId="6" fillId="0" borderId="1" applyAlignment="1" pivotButton="0" quotePrefix="0" xfId="0">
      <alignment horizontal="general" vertical="bottom" wrapText="1"/>
    </xf>
    <xf numFmtId="0" fontId="0" fillId="0" borderId="1" applyAlignment="1" pivotButton="0" quotePrefix="0" xfId="0">
      <alignment horizontal="general" vertical="bottom" wrapText="1"/>
    </xf>
    <xf numFmtId="0" fontId="15" fillId="0" borderId="0" applyAlignment="1" pivotButton="0" quotePrefix="0" xfId="0">
      <alignment horizontal="general" vertical="bottom" wrapText="1"/>
    </xf>
    <xf numFmtId="0" fontId="15" fillId="0" borderId="1" applyAlignment="1" pivotButton="0" quotePrefix="0" xfId="0">
      <alignment horizontal="general" vertical="bottom" wrapText="1"/>
    </xf>
    <xf numFmtId="0" fontId="16" fillId="0" borderId="0" applyAlignment="1" pivotButton="0" quotePrefix="0" xfId="0">
      <alignment horizontal="general" vertical="bottom" wrapText="1"/>
    </xf>
    <xf numFmtId="0" fontId="16" fillId="0" borderId="1" applyAlignment="1" pivotButton="0" quotePrefix="0" xfId="0">
      <alignment horizontal="general" vertical="bottom" wrapText="1"/>
    </xf>
    <xf numFmtId="0" fontId="17" fillId="0" borderId="0" applyAlignment="1" pivotButton="0" quotePrefix="0" xfId="0">
      <alignment horizontal="general" vertical="bottom" wrapText="1"/>
    </xf>
    <xf numFmtId="0" fontId="17" fillId="0" borderId="1" applyAlignment="1" pivotButton="0" quotePrefix="0" xfId="0">
      <alignment horizontal="general" vertical="bottom" wrapText="1"/>
    </xf>
    <xf numFmtId="0" fontId="0" fillId="6" borderId="0" applyAlignment="1" pivotButton="0" quotePrefix="0" xfId="0">
      <alignment horizontal="general" vertical="bottom"/>
    </xf>
    <xf numFmtId="0" fontId="0" fillId="6" borderId="1" applyAlignment="1" pivotButton="0" quotePrefix="0" xfId="0">
      <alignment horizontal="general" vertical="bottom"/>
    </xf>
    <xf numFmtId="0" fontId="18" fillId="6" borderId="0" applyAlignment="1" pivotButton="0" quotePrefix="0" xfId="0">
      <alignment horizontal="general" vertical="bottom"/>
    </xf>
    <xf numFmtId="0" fontId="18" fillId="6" borderId="1" applyAlignment="1" pivotButton="0" quotePrefix="0" xfId="0">
      <alignment horizontal="general" vertical="bottom"/>
    </xf>
    <xf numFmtId="0" fontId="19" fillId="6" borderId="0" applyAlignment="1" pivotButton="0" quotePrefix="0" xfId="0">
      <alignment horizontal="general" vertical="bottom"/>
    </xf>
    <xf numFmtId="0" fontId="19" fillId="6" borderId="1" applyAlignment="1" pivotButton="0" quotePrefix="0" xfId="0">
      <alignment horizontal="general" vertical="bottom"/>
    </xf>
    <xf numFmtId="0" fontId="20" fillId="0" borderId="0" applyAlignment="1" pivotButton="0" quotePrefix="0" xfId="0">
      <alignment horizontal="general" vertical="bottom"/>
    </xf>
    <xf numFmtId="0" fontId="20" fillId="0" borderId="1" applyAlignment="1" pivotButton="0" quotePrefix="0" xfId="0">
      <alignment horizontal="general" vertical="bottom"/>
    </xf>
    <xf numFmtId="0" fontId="21" fillId="0" borderId="0" applyAlignment="1" pivotButton="0" quotePrefix="0" xfId="0">
      <alignment horizontal="general" vertical="bottom" wrapText="1"/>
    </xf>
    <xf numFmtId="0" fontId="21" fillId="0" borderId="1" applyAlignment="1" pivotButton="0" quotePrefix="0" xfId="0">
      <alignment horizontal="general" vertical="bottom" wrapText="1"/>
    </xf>
    <xf numFmtId="0" fontId="22" fillId="0" borderId="0" applyAlignment="1" pivotButton="0" quotePrefix="0" xfId="0">
      <alignment horizontal="general" vertical="bottom" wrapText="1"/>
    </xf>
    <xf numFmtId="0" fontId="22" fillId="0" borderId="1" applyAlignment="1" pivotButton="0" quotePrefix="0" xfId="0">
      <alignment horizontal="general" vertical="bottom" wrapText="1"/>
    </xf>
    <xf numFmtId="0" fontId="22" fillId="7" borderId="0" applyAlignment="1" pivotButton="0" quotePrefix="0" xfId="0">
      <alignment horizontal="general" vertical="bottom" wrapText="1"/>
    </xf>
    <xf numFmtId="0" fontId="22" fillId="7" borderId="1" applyAlignment="1" pivotButton="0" quotePrefix="0" xfId="0">
      <alignment horizontal="general" vertical="bottom" wrapText="1"/>
    </xf>
    <xf numFmtId="0" fontId="22" fillId="5" borderId="0" applyAlignment="1" pivotButton="0" quotePrefix="0" xfId="0">
      <alignment horizontal="general" vertical="bottom" wrapText="1"/>
    </xf>
    <xf numFmtId="0" fontId="22" fillId="5" borderId="1" applyAlignment="1" pivotButton="0" quotePrefix="0" xfId="0">
      <alignment horizontal="general" vertical="bottom" wrapText="1"/>
    </xf>
    <xf numFmtId="0" fontId="23" fillId="5" borderId="0" applyAlignment="1" pivotButton="0" quotePrefix="0" xfId="0">
      <alignment horizontal="general" vertical="bottom" wrapText="1"/>
    </xf>
    <xf numFmtId="0" fontId="23" fillId="5" borderId="1" applyAlignment="1" pivotButton="0" quotePrefix="0" xfId="0">
      <alignment horizontal="general" vertical="bottom" wrapText="1"/>
    </xf>
    <xf numFmtId="0" fontId="15" fillId="0" borderId="0" applyAlignment="1" pivotButton="0" quotePrefix="0" xfId="0">
      <alignment horizontal="general" vertical="bottom"/>
    </xf>
    <xf numFmtId="0" fontId="24" fillId="2" borderId="0" applyAlignment="1" pivotButton="0" quotePrefix="0" xfId="0">
      <alignment horizontal="general" vertical="bottom"/>
    </xf>
    <xf numFmtId="3" fontId="15" fillId="3" borderId="0" applyAlignment="1" pivotButton="0" quotePrefix="0" xfId="0">
      <alignment horizontal="general" vertical="bottom"/>
    </xf>
    <xf numFmtId="164" fontId="15" fillId="3" borderId="0" applyAlignment="1" pivotButton="0" quotePrefix="0" xfId="0">
      <alignment horizontal="general" vertical="bottom"/>
    </xf>
    <xf numFmtId="2" fontId="15" fillId="3" borderId="0" applyAlignment="1" pivotButton="0" quotePrefix="0" xfId="0">
      <alignment horizontal="general" vertical="bottom"/>
    </xf>
    <xf numFmtId="3" fontId="25" fillId="3" borderId="0" applyAlignment="1" pivotButton="0" quotePrefix="0" xfId="0">
      <alignment horizontal="general" vertical="bottom"/>
    </xf>
    <xf numFmtId="9" fontId="15" fillId="4" borderId="0" applyAlignment="1" pivotButton="0" quotePrefix="0" xfId="0">
      <alignment horizontal="general" vertical="bottom"/>
    </xf>
    <xf numFmtId="3" fontId="15" fillId="0" borderId="0" applyAlignment="1" pivotButton="0" quotePrefix="0" xfId="0">
      <alignment horizontal="general" vertical="bottom"/>
    </xf>
    <xf numFmtId="0" fontId="15" fillId="0" borderId="1" applyAlignment="1" pivotButton="0" quotePrefix="0" xfId="0">
      <alignment horizontal="general" vertical="bottom"/>
    </xf>
    <xf numFmtId="0" fontId="24" fillId="2" borderId="1" applyAlignment="1" pivotButton="0" quotePrefix="0" xfId="0">
      <alignment horizontal="general" vertical="bottom"/>
    </xf>
    <xf numFmtId="3" fontId="15" fillId="3" borderId="1" applyAlignment="1" pivotButton="0" quotePrefix="0" xfId="0">
      <alignment horizontal="general" vertical="bottom"/>
    </xf>
    <xf numFmtId="164" fontId="15" fillId="3" borderId="1" applyAlignment="1" pivotButton="0" quotePrefix="0" xfId="0">
      <alignment horizontal="general" vertical="bottom"/>
    </xf>
    <xf numFmtId="2" fontId="15" fillId="3" borderId="1" applyAlignment="1" pivotButton="0" quotePrefix="0" xfId="0">
      <alignment horizontal="general" vertical="bottom"/>
    </xf>
    <xf numFmtId="3" fontId="25" fillId="3" borderId="1" applyAlignment="1" pivotButton="0" quotePrefix="0" xfId="0">
      <alignment horizontal="general" vertical="bottom"/>
    </xf>
    <xf numFmtId="9" fontId="15" fillId="4" borderId="1" applyAlignment="1" pivotButton="0" quotePrefix="0" xfId="0">
      <alignment horizontal="general" vertical="bottom"/>
    </xf>
    <xf numFmtId="3" fontId="15" fillId="0" borderId="1" applyAlignment="1" pivotButton="0" quotePrefix="0" xfId="0">
      <alignment horizontal="general" vertical="bottom"/>
    </xf>
    <xf numFmtId="0" fontId="15" fillId="4" borderId="0" applyAlignment="1" pivotButton="0" quotePrefix="0" xfId="0">
      <alignment horizontal="general" vertical="bottom"/>
    </xf>
    <xf numFmtId="164" fontId="15" fillId="0" borderId="0" applyAlignment="1" pivotButton="0" quotePrefix="0" xfId="0">
      <alignment horizontal="general" vertical="bottom"/>
    </xf>
    <xf numFmtId="4" fontId="15" fillId="0" borderId="0" applyAlignment="1" pivotButton="0" quotePrefix="0" xfId="0">
      <alignment horizontal="general" vertical="bottom"/>
    </xf>
    <xf numFmtId="165" fontId="15" fillId="3" borderId="0" applyAlignment="1" pivotButton="0" quotePrefix="0" xfId="0">
      <alignment horizontal="general" vertical="bottom"/>
    </xf>
    <xf numFmtId="2" fontId="15" fillId="0" borderId="0" applyAlignment="1" pivotButton="0" quotePrefix="0" xfId="0">
      <alignment horizontal="general" vertical="bottom"/>
    </xf>
    <xf numFmtId="0" fontId="15" fillId="4" borderId="1" applyAlignment="1" pivotButton="0" quotePrefix="0" xfId="0">
      <alignment horizontal="general" vertical="bottom"/>
    </xf>
    <xf numFmtId="164" fontId="15" fillId="0" borderId="1" applyAlignment="1" pivotButton="0" quotePrefix="0" xfId="0">
      <alignment horizontal="general" vertical="bottom"/>
    </xf>
    <xf numFmtId="4" fontId="15" fillId="0" borderId="1" applyAlignment="1" pivotButton="0" quotePrefix="0" xfId="0">
      <alignment horizontal="general" vertical="bottom"/>
    </xf>
    <xf numFmtId="165" fontId="15" fillId="3" borderId="1" applyAlignment="1" pivotButton="0" quotePrefix="0" xfId="0">
      <alignment horizontal="general" vertical="bottom"/>
    </xf>
    <xf numFmtId="2" fontId="15" fillId="0" borderId="1" applyAlignment="1" pivotButton="0" quotePrefix="0" xfId="0">
      <alignment horizontal="general" vertical="bottom"/>
    </xf>
    <xf numFmtId="164" fontId="15" fillId="4" borderId="0" applyAlignment="1" pivotButton="0" quotePrefix="0" xfId="0">
      <alignment horizontal="general" vertical="bottom"/>
    </xf>
    <xf numFmtId="164" fontId="26" fillId="4" borderId="0" applyAlignment="1" pivotButton="0" quotePrefix="0" xfId="0">
      <alignment horizontal="general" vertical="bottom"/>
    </xf>
    <xf numFmtId="0" fontId="27" fillId="0" borderId="0" applyAlignment="1" pivotButton="0" quotePrefix="0" xfId="0">
      <alignment horizontal="general" vertical="bottom"/>
    </xf>
    <xf numFmtId="164" fontId="15" fillId="4" borderId="1" applyAlignment="1" pivotButton="0" quotePrefix="0" xfId="0">
      <alignment horizontal="general" vertical="bottom"/>
    </xf>
    <xf numFmtId="164" fontId="26" fillId="4" borderId="1" applyAlignment="1" pivotButton="0" quotePrefix="0" xfId="0">
      <alignment horizontal="general" vertical="bottom"/>
    </xf>
    <xf numFmtId="0" fontId="27" fillId="0" borderId="1" applyAlignment="1" pivotButton="0" quotePrefix="0" xfId="0">
      <alignment horizontal="general" vertical="bottom"/>
    </xf>
    <xf numFmtId="9" fontId="15" fillId="0" borderId="0" applyAlignment="1" pivotButton="0" quotePrefix="0" xfId="0">
      <alignment horizontal="general" vertical="bottom"/>
    </xf>
    <xf numFmtId="9" fontId="15" fillId="0" borderId="1" applyAlignment="1" pivotButton="0" quotePrefix="0" xfId="0">
      <alignment horizontal="general" vertical="bottom"/>
    </xf>
    <xf numFmtId="0" fontId="15" fillId="8" borderId="0" applyAlignment="1" pivotButton="0" quotePrefix="0" xfId="0">
      <alignment horizontal="general" vertical="bottom"/>
    </xf>
    <xf numFmtId="164" fontId="15" fillId="8" borderId="0" applyAlignment="1" pivotButton="0" quotePrefix="0" xfId="0">
      <alignment horizontal="general" vertical="bottom"/>
    </xf>
    <xf numFmtId="164" fontId="26" fillId="8" borderId="0" applyAlignment="1" pivotButton="0" quotePrefix="0" xfId="0">
      <alignment horizontal="general" vertical="bottom"/>
    </xf>
    <xf numFmtId="0" fontId="15" fillId="8" borderId="1" applyAlignment="1" pivotButton="0" quotePrefix="0" xfId="0">
      <alignment horizontal="general" vertical="bottom"/>
    </xf>
    <xf numFmtId="164" fontId="15" fillId="8" borderId="1" applyAlignment="1" pivotButton="0" quotePrefix="0" xfId="0">
      <alignment horizontal="general" vertical="bottom"/>
    </xf>
    <xf numFmtId="164" fontId="26" fillId="8" borderId="1" applyAlignment="1" pivotButton="0" quotePrefix="0" xfId="0">
      <alignment horizontal="general" vertical="bottom"/>
    </xf>
    <xf numFmtId="0" fontId="28" fillId="8" borderId="0" applyAlignment="1" pivotButton="0" quotePrefix="0" xfId="0">
      <alignment horizontal="general" vertical="bottom"/>
    </xf>
    <xf numFmtId="164" fontId="28" fillId="8" borderId="0" applyAlignment="1" pivotButton="0" quotePrefix="0" xfId="0">
      <alignment horizontal="general" vertical="bottom"/>
    </xf>
    <xf numFmtId="164" fontId="29" fillId="8" borderId="0" applyAlignment="1" pivotButton="0" quotePrefix="0" xfId="0">
      <alignment horizontal="general" vertical="bottom"/>
    </xf>
    <xf numFmtId="0" fontId="28" fillId="8" borderId="1" applyAlignment="1" pivotButton="0" quotePrefix="0" xfId="0">
      <alignment horizontal="general" vertical="bottom"/>
    </xf>
    <xf numFmtId="164" fontId="28" fillId="8" borderId="1" applyAlignment="1" pivotButton="0" quotePrefix="0" xfId="0">
      <alignment horizontal="general" vertical="bottom"/>
    </xf>
    <xf numFmtId="164" fontId="29" fillId="8" borderId="1" applyAlignment="1" pivotButton="0" quotePrefix="0" xfId="0">
      <alignment horizontal="general" vertical="bottom"/>
    </xf>
    <xf numFmtId="9" fontId="15" fillId="8" borderId="0" applyAlignment="1" pivotButton="0" quotePrefix="0" xfId="0">
      <alignment horizontal="general" vertical="bottom"/>
    </xf>
    <xf numFmtId="9" fontId="15" fillId="8" borderId="1" applyAlignment="1" pivotButton="0" quotePrefix="0" xfId="0">
      <alignment horizontal="general" vertical="bottom"/>
    </xf>
    <xf numFmtId="9" fontId="28" fillId="8" borderId="0" applyAlignment="1" pivotButton="0" quotePrefix="0" xfId="0">
      <alignment horizontal="general" vertical="bottom"/>
    </xf>
    <xf numFmtId="9" fontId="28" fillId="8" borderId="1" applyAlignment="1" pivotButton="0" quotePrefix="0" xfId="0">
      <alignment horizontal="general" vertical="bottom"/>
    </xf>
    <xf numFmtId="3" fontId="30" fillId="3" borderId="0" applyAlignment="1" pivotButton="0" quotePrefix="0" xfId="0">
      <alignment horizontal="general" vertical="bottom"/>
    </xf>
    <xf numFmtId="164" fontId="30" fillId="3" borderId="0" applyAlignment="1" pivotButton="0" quotePrefix="0" xfId="0">
      <alignment horizontal="general" vertical="bottom"/>
    </xf>
    <xf numFmtId="2" fontId="30" fillId="3" borderId="0" applyAlignment="1" pivotButton="0" quotePrefix="0" xfId="0">
      <alignment horizontal="general" vertical="bottom"/>
    </xf>
    <xf numFmtId="3" fontId="31" fillId="3" borderId="0" applyAlignment="1" pivotButton="0" quotePrefix="0" xfId="0">
      <alignment horizontal="general" vertical="bottom"/>
    </xf>
    <xf numFmtId="3" fontId="30" fillId="3" borderId="1" applyAlignment="1" pivotButton="0" quotePrefix="0" xfId="0">
      <alignment horizontal="general" vertical="bottom"/>
    </xf>
    <xf numFmtId="164" fontId="30" fillId="3" borderId="1" applyAlignment="1" pivotButton="0" quotePrefix="0" xfId="0">
      <alignment horizontal="general" vertical="bottom"/>
    </xf>
    <xf numFmtId="2" fontId="30" fillId="3" borderId="1" applyAlignment="1" pivotButton="0" quotePrefix="0" xfId="0">
      <alignment horizontal="general" vertical="bottom"/>
    </xf>
    <xf numFmtId="3" fontId="31" fillId="3" borderId="1" applyAlignment="1" pivotButton="0" quotePrefix="0" xfId="0">
      <alignment horizontal="general" vertical="bottom"/>
    </xf>
    <xf numFmtId="164" fontId="30" fillId="0" borderId="0" applyAlignment="1" pivotButton="0" quotePrefix="0" xfId="0">
      <alignment horizontal="general" vertical="bottom"/>
    </xf>
    <xf numFmtId="164" fontId="30" fillId="0" borderId="1" applyAlignment="1" pivotButton="0" quotePrefix="0" xfId="0">
      <alignment horizontal="general" vertical="bottom"/>
    </xf>
    <xf numFmtId="4" fontId="30" fillId="0" borderId="0" applyAlignment="1" pivotButton="0" quotePrefix="0" xfId="0">
      <alignment horizontal="general" vertical="bottom"/>
    </xf>
    <xf numFmtId="4" fontId="30" fillId="0" borderId="1" applyAlignment="1" pivotButton="0" quotePrefix="0" xfId="0">
      <alignment horizontal="general" vertical="bottom"/>
    </xf>
    <xf numFmtId="165" fontId="30" fillId="3" borderId="0" applyAlignment="1" pivotButton="0" quotePrefix="0" xfId="0">
      <alignment horizontal="general" vertical="bottom"/>
    </xf>
    <xf numFmtId="165" fontId="30" fillId="3" borderId="1" applyAlignment="1" pivotButton="0" quotePrefix="0" xfId="0">
      <alignment horizontal="general" vertical="bottom"/>
    </xf>
    <xf numFmtId="0" fontId="30" fillId="0" borderId="0" applyAlignment="1" pivotButton="0" quotePrefix="0" xfId="0">
      <alignment horizontal="general" vertical="bottom"/>
    </xf>
    <xf numFmtId="2" fontId="30" fillId="0" borderId="0" applyAlignment="1" pivotButton="0" quotePrefix="0" xfId="0">
      <alignment horizontal="general" vertical="bottom"/>
    </xf>
    <xf numFmtId="0" fontId="30" fillId="0" borderId="1" applyAlignment="1" pivotButton="0" quotePrefix="0" xfId="0">
      <alignment horizontal="general" vertical="bottom"/>
    </xf>
    <xf numFmtId="2" fontId="30" fillId="0" borderId="1" applyAlignment="1" pivotButton="0" quotePrefix="0" xfId="0">
      <alignment horizontal="general" vertical="bottom"/>
    </xf>
    <xf numFmtId="3" fontId="30" fillId="0" borderId="0" applyAlignment="1" pivotButton="0" quotePrefix="0" xfId="0">
      <alignment horizontal="general" vertical="bottom"/>
    </xf>
    <xf numFmtId="9" fontId="30" fillId="0" borderId="0" applyAlignment="1" pivotButton="0" quotePrefix="0" xfId="0">
      <alignment horizontal="general" vertical="bottom"/>
    </xf>
    <xf numFmtId="3" fontId="30" fillId="0" borderId="1" applyAlignment="1" pivotButton="0" quotePrefix="0" xfId="0">
      <alignment horizontal="general" vertical="bottom"/>
    </xf>
    <xf numFmtId="9" fontId="30" fillId="0" borderId="1" applyAlignment="1" pivotButton="0" quotePrefix="0" xfId="0">
      <alignment horizontal="general" vertical="bottom"/>
    </xf>
    <xf numFmtId="0" fontId="24" fillId="9" borderId="0" applyAlignment="1" pivotButton="0" quotePrefix="0" xfId="0">
      <alignment horizontal="general" vertical="bottom"/>
    </xf>
    <xf numFmtId="0" fontId="24" fillId="9" borderId="1" applyAlignment="1" pivotButton="0" quotePrefix="0" xfId="0">
      <alignment horizontal="general" vertical="bottom"/>
    </xf>
    <xf numFmtId="0" fontId="24" fillId="2" borderId="0" applyAlignment="1" pivotButton="0" quotePrefix="0" xfId="0">
      <alignment horizontal="general" vertical="bottom" wrapText="1"/>
    </xf>
    <xf numFmtId="0" fontId="24" fillId="9" borderId="0" applyAlignment="1" pivotButton="0" quotePrefix="0" xfId="0">
      <alignment horizontal="general" vertical="bottom" wrapText="1"/>
    </xf>
    <xf numFmtId="0" fontId="24" fillId="2" borderId="1" applyAlignment="1" pivotButton="0" quotePrefix="0" xfId="0">
      <alignment horizontal="general" vertical="bottom" wrapText="1"/>
    </xf>
    <xf numFmtId="0" fontId="24" fillId="9" borderId="1" applyAlignment="1" pivotButton="0" quotePrefix="0" xfId="0">
      <alignment horizontal="general" vertical="bottom" wrapText="1"/>
    </xf>
    <xf numFmtId="166" fontId="30" fillId="3" borderId="0" applyAlignment="1" pivotButton="0" quotePrefix="0" xfId="0">
      <alignment horizontal="general" vertical="bottom"/>
    </xf>
    <xf numFmtId="166" fontId="31" fillId="3" borderId="0" applyAlignment="1" pivotButton="0" quotePrefix="0" xfId="0">
      <alignment horizontal="general" vertical="bottom"/>
    </xf>
    <xf numFmtId="166" fontId="30" fillId="3" borderId="1" applyAlignment="1" pivotButton="0" quotePrefix="0" xfId="0">
      <alignment horizontal="general" vertical="bottom"/>
    </xf>
    <xf numFmtId="166" fontId="31" fillId="3" borderId="1" applyAlignment="1" pivotButton="0" quotePrefix="0" xfId="0">
      <alignment horizontal="general" vertical="bottom"/>
    </xf>
    <xf numFmtId="167" fontId="30" fillId="3" borderId="0" applyAlignment="1" pivotButton="0" quotePrefix="0" xfId="0">
      <alignment horizontal="general" vertical="bottom"/>
    </xf>
    <xf numFmtId="167" fontId="30" fillId="3" borderId="1" applyAlignment="1" pivotButton="0" quotePrefix="0" xfId="0">
      <alignment horizontal="general" vertical="bottom"/>
    </xf>
    <xf numFmtId="168" fontId="30" fillId="3" borderId="0" applyAlignment="1" pivotButton="0" quotePrefix="0" xfId="0">
      <alignment horizontal="general" vertical="bottom"/>
    </xf>
    <xf numFmtId="168" fontId="30" fillId="3" borderId="1" applyAlignment="1" pivotButton="0" quotePrefix="0" xfId="0">
      <alignment horizontal="general" vertical="bottom"/>
    </xf>
    <xf numFmtId="166" fontId="28" fillId="8" borderId="0" applyAlignment="1" pivotButton="0" quotePrefix="0" xfId="0">
      <alignment horizontal="general" vertical="bottom"/>
    </xf>
    <xf numFmtId="166" fontId="30" fillId="0" borderId="0" applyAlignment="1" pivotButton="0" quotePrefix="0" xfId="0">
      <alignment horizontal="general" vertical="bottom"/>
    </xf>
    <xf numFmtId="166" fontId="15" fillId="0" borderId="0" applyAlignment="1" pivotButton="0" quotePrefix="0" xfId="0">
      <alignment horizontal="general" vertical="bottom"/>
    </xf>
    <xf numFmtId="166" fontId="24" fillId="2" borderId="0" applyAlignment="1" pivotButton="0" quotePrefix="0" xfId="0">
      <alignment horizontal="general" vertical="bottom"/>
    </xf>
    <xf numFmtId="166" fontId="24" fillId="9" borderId="0" applyAlignment="1" pivotButton="0" quotePrefix="0" xfId="0">
      <alignment horizontal="general" vertical="bottom"/>
    </xf>
    <xf numFmtId="166" fontId="28" fillId="8" borderId="1" applyAlignment="1" pivotButton="0" quotePrefix="0" xfId="0">
      <alignment horizontal="general" vertical="bottom"/>
    </xf>
    <xf numFmtId="166" fontId="30" fillId="0" borderId="1" applyAlignment="1" pivotButton="0" quotePrefix="0" xfId="0">
      <alignment horizontal="general" vertical="bottom"/>
    </xf>
    <xf numFmtId="166" fontId="15" fillId="0" borderId="1" applyAlignment="1" pivotButton="0" quotePrefix="0" xfId="0">
      <alignment horizontal="general" vertical="bottom"/>
    </xf>
    <xf numFmtId="166" fontId="24" fillId="2" borderId="1" applyAlignment="1" pivotButton="0" quotePrefix="0" xfId="0">
      <alignment horizontal="general" vertical="bottom"/>
    </xf>
    <xf numFmtId="166" fontId="24" fillId="9" borderId="1" applyAlignment="1" pivotButton="0" quotePrefix="0" xfId="0">
      <alignment horizontal="general" vertical="bottom"/>
    </xf>
    <xf numFmtId="167" fontId="30" fillId="0" borderId="0" applyAlignment="1" pivotButton="0" quotePrefix="0" xfId="0">
      <alignment horizontal="general" vertical="bottom"/>
    </xf>
    <xf numFmtId="167" fontId="30" fillId="0" borderId="1" applyAlignment="1" pivotButton="0" quotePrefix="0" xfId="0">
      <alignment horizontal="general" vertical="bottom"/>
    </xf>
    <xf numFmtId="166" fontId="29" fillId="8" borderId="0" applyAlignment="1" pivotButton="0" quotePrefix="0" xfId="0">
      <alignment horizontal="general" vertical="bottom"/>
    </xf>
    <xf numFmtId="166" fontId="29" fillId="8" borderId="1" applyAlignment="1" pivotButton="0" quotePrefix="0" xfId="0">
      <alignment horizontal="general" vertical="bottom"/>
    </xf>
    <xf numFmtId="167" fontId="28" fillId="8" borderId="0" applyAlignment="1" pivotButton="0" quotePrefix="0" xfId="0">
      <alignment horizontal="general" vertical="bottom"/>
    </xf>
    <xf numFmtId="167" fontId="28" fillId="8" borderId="1" applyAlignment="1" pivotButton="0" quotePrefix="0" xfId="0">
      <alignment horizontal="general" vertical="bottom"/>
    </xf>
    <xf numFmtId="167" fontId="29" fillId="8" borderId="0" applyAlignment="1" pivotButton="0" quotePrefix="0" xfId="0">
      <alignment horizontal="general" vertical="bottom"/>
    </xf>
    <xf numFmtId="167" fontId="29" fillId="8" borderId="1" applyAlignment="1" pivotButton="0" quotePrefix="0" xfId="0">
      <alignment horizontal="general" vertical="bottom"/>
    </xf>
    <xf numFmtId="169" fontId="28" fillId="8" borderId="0" applyAlignment="1" pivotButton="0" quotePrefix="0" xfId="0">
      <alignment horizontal="general" vertical="bottom"/>
    </xf>
    <xf numFmtId="169" fontId="28" fillId="8" borderId="1" applyAlignment="1" pivotButton="0" quotePrefix="0" xfId="0">
      <alignment horizontal="general" vertical="bottom"/>
    </xf>
    <xf numFmtId="169" fontId="15" fillId="0" borderId="0" applyAlignment="1" pivotButton="0" quotePrefix="0" xfId="0">
      <alignment horizontal="general" vertical="bottom"/>
    </xf>
    <xf numFmtId="169" fontId="15" fillId="0" borderId="1" applyAlignment="1" pivotButton="0" quotePrefix="0" xfId="0">
      <alignment horizontal="general" vertical="bottom"/>
    </xf>
    <xf numFmtId="169" fontId="30" fillId="0" borderId="0" applyAlignment="1" pivotButton="0" quotePrefix="0" xfId="0">
      <alignment horizontal="general" vertical="bottom"/>
    </xf>
    <xf numFmtId="169" fontId="30" fillId="0" borderId="1" applyAlignment="1" pivotButton="0" quotePrefix="0" xfId="0">
      <alignment horizontal="general" vertical="bottom"/>
    </xf>
    <xf numFmtId="0" fontId="17" fillId="0" borderId="0" applyAlignment="1" pivotButton="0" quotePrefix="0" xfId="0">
      <alignment horizontal="general" vertical="center" wrapText="1"/>
    </xf>
    <xf numFmtId="0" fontId="17" fillId="0" borderId="1" applyAlignment="1" pivotButton="0" quotePrefix="0" xfId="0">
      <alignment horizontal="general" vertical="center" wrapText="1"/>
    </xf>
    <xf numFmtId="0" fontId="32" fillId="6" borderId="0" applyAlignment="1" pivotButton="0" quotePrefix="0" xfId="0">
      <alignment horizontal="general" vertical="bottom"/>
    </xf>
    <xf numFmtId="0" fontId="32" fillId="6" borderId="1" applyAlignment="1" pivotButton="0" quotePrefix="0" xfId="0">
      <alignment horizontal="general" vertical="bottom"/>
    </xf>
    <xf numFmtId="0" fontId="32" fillId="6" borderId="0" applyAlignment="1" pivotButton="0" quotePrefix="0" xfId="0">
      <alignment horizontal="general" vertical="center"/>
    </xf>
    <xf numFmtId="0" fontId="32" fillId="6" borderId="1" applyAlignment="1" pivotButton="0" quotePrefix="0" xfId="0">
      <alignment horizontal="general" vertical="center"/>
    </xf>
    <xf numFmtId="0" fontId="20" fillId="0" borderId="0" applyAlignment="1" pivotButton="0" quotePrefix="0" xfId="0">
      <alignment horizontal="general" vertical="center"/>
    </xf>
    <xf numFmtId="0" fontId="20" fillId="0" borderId="1" applyAlignment="1" pivotButton="0" quotePrefix="0" xfId="0">
      <alignment horizontal="general" vertical="center"/>
    </xf>
    <xf numFmtId="0" fontId="15" fillId="5" borderId="0" applyAlignment="1" pivotButton="0" quotePrefix="0" xfId="0">
      <alignment horizontal="general" vertical="bottom"/>
    </xf>
    <xf numFmtId="166" fontId="30" fillId="5" borderId="0" applyAlignment="1" pivotButton="0" quotePrefix="0" xfId="0">
      <alignment horizontal="general" vertical="bottom"/>
    </xf>
    <xf numFmtId="0" fontId="15" fillId="5" borderId="1" applyAlignment="1" pivotButton="0" quotePrefix="0" xfId="0">
      <alignment horizontal="general" vertical="bottom"/>
    </xf>
    <xf numFmtId="166" fontId="30" fillId="5" borderId="1" applyAlignment="1" pivotButton="0" quotePrefix="0" xfId="0">
      <alignment horizontal="general" vertical="bottom"/>
    </xf>
    <xf numFmtId="0" fontId="33" fillId="5" borderId="0" applyAlignment="1" pivotButton="0" quotePrefix="0" xfId="0">
      <alignment horizontal="general" vertical="bottom"/>
    </xf>
    <xf numFmtId="166" fontId="34" fillId="5" borderId="0" applyAlignment="1" pivotButton="0" quotePrefix="0" xfId="0">
      <alignment horizontal="general" vertical="bottom"/>
    </xf>
    <xf numFmtId="0" fontId="33" fillId="5" borderId="1" applyAlignment="1" pivotButton="0" quotePrefix="0" xfId="0">
      <alignment horizontal="general" vertical="bottom"/>
    </xf>
    <xf numFmtId="166" fontId="34" fillId="5" borderId="1" applyAlignment="1" pivotButton="0" quotePrefix="0" xfId="0">
      <alignment horizontal="general" vertical="bottom"/>
    </xf>
    <xf numFmtId="0" fontId="15" fillId="10" borderId="0" applyAlignment="1" pivotButton="0" quotePrefix="0" xfId="0">
      <alignment horizontal="general" vertical="bottom"/>
    </xf>
    <xf numFmtId="166" fontId="30" fillId="10" borderId="0" applyAlignment="1" pivotButton="0" quotePrefix="0" xfId="0">
      <alignment horizontal="general" vertical="bottom"/>
    </xf>
    <xf numFmtId="0" fontId="15" fillId="10" borderId="1" applyAlignment="1" pivotButton="0" quotePrefix="0" xfId="0">
      <alignment horizontal="general" vertical="bottom"/>
    </xf>
    <xf numFmtId="166" fontId="30" fillId="10" borderId="1" applyAlignment="1" pivotButton="0" quotePrefix="0" xfId="0">
      <alignment horizontal="general" vertical="bottom"/>
    </xf>
    <xf numFmtId="0" fontId="22" fillId="7" borderId="0" applyAlignment="1" pivotButton="0" quotePrefix="0" xfId="0">
      <alignment horizontal="general" vertical="center" wrapText="1"/>
    </xf>
    <xf numFmtId="0" fontId="22" fillId="0" borderId="0" applyAlignment="1" pivotButton="0" quotePrefix="0" xfId="0">
      <alignment horizontal="general" vertical="center" wrapText="1"/>
    </xf>
    <xf numFmtId="0" fontId="23" fillId="5" borderId="0" applyAlignment="1" pivotButton="0" quotePrefix="0" xfId="0">
      <alignment horizontal="general" vertical="center" wrapText="1"/>
    </xf>
    <xf numFmtId="0" fontId="22" fillId="7" borderId="1" applyAlignment="1" pivotButton="0" quotePrefix="0" xfId="0">
      <alignment horizontal="general" vertical="center" wrapText="1"/>
    </xf>
    <xf numFmtId="0" fontId="22" fillId="0" borderId="1" applyAlignment="1" pivotButton="0" quotePrefix="0" xfId="0">
      <alignment horizontal="general" vertical="center" wrapText="1"/>
    </xf>
    <xf numFmtId="0" fontId="23" fillId="5" borderId="1" applyAlignment="1" pivotButton="0" quotePrefix="0" xfId="0">
      <alignment horizontal="general" vertical="center" wrapText="1"/>
    </xf>
    <xf numFmtId="0" fontId="32" fillId="6" borderId="0" applyAlignment="1" pivotButton="0" quotePrefix="0" xfId="0">
      <alignment horizontal="center" vertical="center"/>
    </xf>
    <xf numFmtId="0" fontId="32" fillId="6" borderId="1" applyAlignment="1" pivotButton="0" quotePrefix="0" xfId="0">
      <alignment horizontal="center" vertical="center"/>
    </xf>
    <xf numFmtId="0" fontId="0" fillId="0" borderId="0" pivotButton="0" quotePrefix="0" xfId="0"/>
    <xf numFmtId="0" fontId="14" fillId="5" borderId="1" applyAlignment="1" pivotButton="0" quotePrefix="0" xfId="0">
      <alignment horizontal="general" vertical="center" wrapText="1"/>
    </xf>
    <xf numFmtId="0" fontId="0" fillId="0" borderId="1" pivotButton="0" quotePrefix="0" xfId="0"/>
    <xf numFmtId="0" fontId="17" fillId="0" borderId="1" applyAlignment="1" pivotButton="0" quotePrefix="0" xfId="0">
      <alignment horizontal="general" vertical="center" wrapText="1"/>
    </xf>
    <xf numFmtId="0" fontId="15" fillId="0" borderId="0" applyAlignment="1" pivotButton="0" quotePrefix="0" xfId="0">
      <alignment horizontal="general" vertical="bottom"/>
    </xf>
    <xf numFmtId="0" fontId="24" fillId="2" borderId="0" applyAlignment="1" pivotButton="0" quotePrefix="0" xfId="0">
      <alignment horizontal="general" vertical="bottom"/>
    </xf>
    <xf numFmtId="166" fontId="30" fillId="3" borderId="0" applyAlignment="1" pivotButton="0" quotePrefix="0" xfId="0">
      <alignment horizontal="general" vertical="bottom"/>
    </xf>
    <xf numFmtId="0" fontId="15" fillId="0" borderId="0" applyAlignment="1" pivotButton="0" quotePrefix="0" xfId="0">
      <alignment horizontal="general" vertical="bottom" wrapText="1"/>
    </xf>
    <xf numFmtId="167" fontId="30" fillId="3" borderId="0" applyAlignment="1" pivotButton="0" quotePrefix="0" xfId="0">
      <alignment horizontal="general" vertical="bottom"/>
    </xf>
    <xf numFmtId="168" fontId="30" fillId="3" borderId="0" applyAlignment="1" pivotButton="0" quotePrefix="0" xfId="0">
      <alignment horizontal="general" vertical="bottom"/>
    </xf>
    <xf numFmtId="166" fontId="31" fillId="3" borderId="0" applyAlignment="1" pivotButton="0" quotePrefix="0" xfId="0">
      <alignment horizontal="general" vertical="bottom"/>
    </xf>
    <xf numFmtId="0" fontId="24" fillId="9" borderId="0" applyAlignment="1" pivotButton="0" quotePrefix="0" xfId="0">
      <alignment horizontal="general" vertical="bottom"/>
    </xf>
    <xf numFmtId="164" fontId="15" fillId="4" borderId="0" applyAlignment="1" pivotButton="0" quotePrefix="0" xfId="0">
      <alignment horizontal="general" vertical="bottom"/>
    </xf>
    <xf numFmtId="3" fontId="15" fillId="0" borderId="0" applyAlignment="1" pivotButton="0" quotePrefix="0" xfId="0">
      <alignment horizontal="general" vertical="bottom"/>
    </xf>
    <xf numFmtId="0" fontId="21" fillId="0" borderId="1" applyAlignment="1" pivotButton="0" quotePrefix="0" xfId="0">
      <alignment horizontal="general" vertical="bottom" wrapText="1"/>
    </xf>
    <xf numFmtId="0" fontId="24" fillId="2" borderId="0" applyAlignment="1" pivotButton="0" quotePrefix="0" xfId="0">
      <alignment horizontal="general" vertical="bottom" wrapText="1"/>
    </xf>
    <xf numFmtId="166" fontId="28" fillId="8" borderId="0" applyAlignment="1" pivotButton="0" quotePrefix="0" xfId="0">
      <alignment horizontal="general" vertical="bottom"/>
    </xf>
    <xf numFmtId="167" fontId="30" fillId="0" borderId="0" applyAlignment="1" pivotButton="0" quotePrefix="0" xfId="0">
      <alignment horizontal="general" vertical="bottom"/>
    </xf>
    <xf numFmtId="166" fontId="15" fillId="0" borderId="0" applyAlignment="1" pivotButton="0" quotePrefix="0" xfId="0">
      <alignment horizontal="general" vertical="bottom"/>
    </xf>
    <xf numFmtId="166" fontId="24" fillId="2" borderId="0" applyAlignment="1" pivotButton="0" quotePrefix="0" xfId="0">
      <alignment horizontal="general" vertical="bottom"/>
    </xf>
    <xf numFmtId="166" fontId="30" fillId="0" borderId="0" applyAlignment="1" pivotButton="0" quotePrefix="0" xfId="0">
      <alignment horizontal="general" vertical="bottom"/>
    </xf>
    <xf numFmtId="166" fontId="24" fillId="9" borderId="0" applyAlignment="1" pivotButton="0" quotePrefix="0" xfId="0">
      <alignment horizontal="general" vertical="bottom"/>
    </xf>
    <xf numFmtId="0" fontId="24" fillId="9" borderId="0" applyAlignment="1" pivotButton="0" quotePrefix="0" xfId="0">
      <alignment horizontal="general" vertical="bottom" wrapText="1"/>
    </xf>
    <xf numFmtId="0" fontId="6" fillId="0" borderId="1" applyAlignment="1" pivotButton="0" quotePrefix="0" xfId="0">
      <alignment horizontal="general" vertical="bottom" wrapText="1"/>
    </xf>
    <xf numFmtId="0" fontId="14" fillId="5" borderId="0" applyAlignment="1" pivotButton="0" quotePrefix="0" xfId="0">
      <alignment horizontal="general" vertical="center" wrapText="1"/>
    </xf>
    <xf numFmtId="0" fontId="20" fillId="0" borderId="0" applyAlignment="1" pivotButton="0" quotePrefix="0" xfId="0">
      <alignment horizontal="general" vertical="center"/>
    </xf>
    <xf numFmtId="0" fontId="32" fillId="6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general" vertical="bottom" wrapText="1"/>
    </xf>
    <xf numFmtId="169" fontId="28" fillId="8" borderId="0" applyAlignment="1" pivotButton="0" quotePrefix="0" xfId="0">
      <alignment horizontal="general" vertical="bottom"/>
    </xf>
    <xf numFmtId="167" fontId="28" fillId="8" borderId="0" applyAlignment="1" pivotButton="0" quotePrefix="0" xfId="0">
      <alignment horizontal="general" vertical="bottom"/>
    </xf>
    <xf numFmtId="167" fontId="29" fillId="8" borderId="0" applyAlignment="1" pivotButton="0" quotePrefix="0" xfId="0">
      <alignment horizontal="general" vertical="bottom"/>
    </xf>
    <xf numFmtId="0" fontId="28" fillId="8" borderId="0" applyAlignment="1" pivotButton="0" quotePrefix="0" xfId="0">
      <alignment horizontal="general" vertical="bottom"/>
    </xf>
    <xf numFmtId="0" fontId="30" fillId="0" borderId="0" applyAlignment="1" pivotButton="0" quotePrefix="0" xfId="0">
      <alignment horizontal="general" vertical="bottom"/>
    </xf>
    <xf numFmtId="0" fontId="27" fillId="0" borderId="0" applyAlignment="1" pivotButton="0" quotePrefix="0" xfId="0">
      <alignment horizontal="general" vertical="bottom"/>
    </xf>
    <xf numFmtId="169" fontId="15" fillId="0" borderId="0" applyAlignment="1" pivotButton="0" quotePrefix="0" xfId="0">
      <alignment horizontal="general" vertical="bottom"/>
    </xf>
    <xf numFmtId="169" fontId="30" fillId="0" borderId="0" applyAlignment="1" pivotButton="0" quotePrefix="0" xfId="0">
      <alignment horizontal="general" vertical="bottom"/>
    </xf>
    <xf numFmtId="0" fontId="33" fillId="5" borderId="0" applyAlignment="1" pivotButton="0" quotePrefix="0" xfId="0">
      <alignment horizontal="general" vertical="bottom"/>
    </xf>
    <xf numFmtId="166" fontId="34" fillId="5" borderId="0" applyAlignment="1" pivotButton="0" quotePrefix="0" xfId="0">
      <alignment horizontal="general" vertical="bottom"/>
    </xf>
    <xf numFmtId="0" fontId="15" fillId="10" borderId="0" applyAlignment="1" pivotButton="0" quotePrefix="0" xfId="0">
      <alignment horizontal="general" vertical="bottom"/>
    </xf>
    <xf numFmtId="166" fontId="30" fillId="10" borderId="0" applyAlignment="1" pivotButton="0" quotePrefix="0" xfId="0">
      <alignment horizontal="general" vertical="bottom"/>
    </xf>
    <xf numFmtId="0" fontId="22" fillId="7" borderId="1" applyAlignment="1" pivotButton="0" quotePrefix="0" xfId="0">
      <alignment horizontal="general" vertical="center" wrapText="1"/>
    </xf>
    <xf numFmtId="0" fontId="22" fillId="0" borderId="1" applyAlignment="1" pivotButton="0" quotePrefix="0" xfId="0">
      <alignment horizontal="general" vertical="center" wrapText="1"/>
    </xf>
    <xf numFmtId="0" fontId="23" fillId="5" borderId="1" applyAlignment="1" pivotButton="0" quotePrefix="0" xfId="0">
      <alignment horizontal="general" vertical="center" wrapText="1"/>
    </xf>
  </cellXfs>
  <cellStyles count="6">
    <cellStyle name="Normal" xfId="0"/>
    <cellStyle name="Comma" xfId="1"/>
    <cellStyle name="Comma [0]" xfId="2"/>
    <cellStyle name="Currency" xfId="3"/>
    <cellStyle name="Currency [0]" xfId="4"/>
    <cellStyle name="Percent" xfId="5"/>
  </cellStyles>
  <dxfs count="1">
    <dxf>
      <font>
        <b val="1"/>
        <color rgb="FF196747"/>
      </font>
      <fill>
        <patternFill patternType="solid">
          <bgColor rgb="FFD9EFE4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showGridLines="1" workbookViewId="0">
      <pane ySplit="4" topLeftCell="A5" activePane="bottomLeft" state="frozen"/>
      <selection activeCell="A1" sqref="A1"/>
    </sheetView>
  </sheetViews>
  <sheetFormatPr baseColWidth="8" defaultColWidth="8.6796875" defaultRowHeight="15"/>
  <cols>
    <col width="42" customWidth="1" style="226" min="1" max="1"/>
    <col width="21" customWidth="1" style="226" min="2" max="2"/>
    <col width="16" customWidth="1" style="226" min="3" max="3"/>
    <col width="64" customWidth="1" style="226" min="4" max="4"/>
    <col width="14" customWidth="1" style="226" min="5" max="10"/>
  </cols>
  <sheetData>
    <row r="1" ht="46" customHeight="1" s="226">
      <c r="A1" s="227" t="inlineStr">
        <is>
          <t>GPU 算力方案经济性测算｜自购设备 · 租卡 · API</t>
        </is>
      </c>
      <c r="B1" s="228" t="n"/>
      <c r="C1" s="228" t="n"/>
      <c r="D1" s="228" t="n"/>
    </row>
    <row r="2" ht="38" customHeight="1" s="226">
      <c r="A2" s="229" t="inlineStr">
        <is>
          <t>创羽昀 · yuyunai.cn｜先填写「参数」页，再查看结果。公开版不含任何预置报价、吞吐或商业假设；结果仅供情景测算，不构成投资建议。</t>
        </is>
      </c>
      <c r="B2" s="228" t="n"/>
      <c r="C2" s="228" t="n"/>
      <c r="D2" s="228" t="n"/>
    </row>
    <row r="3">
      <c r="A3" s="230" t="n"/>
      <c r="B3" s="230" t="n"/>
      <c r="C3" s="230" t="n"/>
      <c r="D3" s="230" t="n"/>
    </row>
    <row r="4" ht="15" customHeight="1" s="226">
      <c r="A4" s="231" t="inlineStr">
        <is>
          <t>指标</t>
        </is>
      </c>
      <c r="B4" s="231" t="inlineStr">
        <is>
          <t>结果</t>
        </is>
      </c>
      <c r="C4" s="231" t="inlineStr">
        <is>
          <t>单位</t>
        </is>
      </c>
      <c r="D4" s="231" t="inlineStr">
        <is>
          <t>说明</t>
        </is>
      </c>
    </row>
    <row r="5" ht="17.14999961853027" customHeight="1" s="226">
      <c r="A5" s="230" t="inlineStr">
        <is>
          <t>初始投资额（CAPEX）</t>
        </is>
      </c>
      <c r="B5" s="232">
        <f>IF(参数!$B$2&lt;&gt;"可计算","",年度测算!C3)</f>
        <v/>
      </c>
      <c r="C5" s="230" t="inlineStr">
        <is>
          <t>万元</t>
        </is>
      </c>
      <c r="D5" s="233" t="inlineStr">
        <is>
          <t>服务器+配套</t>
        </is>
      </c>
    </row>
    <row r="6" ht="17.14999961853027" customHeight="1" s="226">
      <c r="A6" s="230" t="inlineStr">
        <is>
          <t>5年含税收入</t>
        </is>
      </c>
      <c r="B6" s="232">
        <f>IF(参数!$B$2&lt;&gt;"可计算","",年度测算!I5)</f>
        <v/>
      </c>
      <c r="C6" s="230" t="inlineStr">
        <is>
          <t>万元</t>
        </is>
      </c>
      <c r="D6" s="233" t="inlineStr">
        <is>
          <t>售价×售出tokens</t>
        </is>
      </c>
    </row>
    <row r="7" ht="17.14999961853027" customHeight="1" s="226">
      <c r="A7" s="230" t="inlineStr">
        <is>
          <t>5年现金OPEX</t>
        </is>
      </c>
      <c r="B7" s="232">
        <f>IF(参数!$B$2&lt;&gt;"可计算","",年度测算!I15)</f>
        <v/>
      </c>
      <c r="C7" s="230" t="inlineStr">
        <is>
          <t>万元</t>
        </is>
      </c>
      <c r="D7" s="233" t="inlineStr">
        <is>
          <t>IDC/人力/渠道/固定/开发/运维</t>
        </is>
      </c>
    </row>
    <row r="8" ht="17.14999961853027" customHeight="1" s="226">
      <c r="A8" s="230" t="inlineStr">
        <is>
          <t>5 年累计净现金流（含初始投资）</t>
        </is>
      </c>
      <c r="B8" s="232">
        <f>IF(参数!$B$2&lt;&gt;"可计算","",年度测算!I26)</f>
        <v/>
      </c>
      <c r="C8" s="230" t="inlineStr">
        <is>
          <t>万元</t>
        </is>
      </c>
      <c r="D8" s="233" t="inlineStr">
        <is>
          <t>含初始 CAPEX，已调整销项 VAT 与实缴 VAT 的简化现金流</t>
        </is>
      </c>
    </row>
    <row r="9" ht="17.14999961853027" customHeight="1" s="226">
      <c r="A9" s="230" t="inlineStr">
        <is>
          <t>项目税后 IRR（简化口径）</t>
        </is>
      </c>
      <c r="B9" s="234">
        <f>IF(参数!$B$2&lt;&gt;"可计算","",IFERROR(IRR(年度测算!C25:H25),"未回收"))</f>
        <v/>
      </c>
      <c r="C9" s="230" t="inlineStr">
        <is>
          <t>%</t>
        </is>
      </c>
      <c r="D9" s="233" t="inlineStr">
        <is>
          <t>这是项目本身的回报率</t>
        </is>
      </c>
    </row>
    <row r="10" ht="15" customHeight="1" s="226">
      <c r="A10" s="230" t="inlineStr">
        <is>
          <t>税后投资回收期（简化口径）</t>
        </is>
      </c>
      <c r="B10" s="235">
        <f>IF(参数!$B$2&lt;&gt;"可计算","",IF(年度测算!H26&lt;0,"未回收",IF(年度测算!D26&gt;=0,ABS(年度测算!C26)/年度测算!D25,IF(年度测算!E26&gt;=0,1+ABS(年度测算!D26)/年度测算!E25,IF(年度测算!F26&gt;=0,2+ABS(年度测算!E26)/年度测算!F25,IF(年度测算!G26&gt;=0,3+ABS(年度测算!F26)/年度测算!G25,4+ABS(年度测算!G26)/年度测算!H25))))))</f>
        <v/>
      </c>
      <c r="C10" s="230" t="inlineStr">
        <is>
          <t>年</t>
        </is>
      </c>
      <c r="D10" s="233" t="n"/>
    </row>
    <row r="11" ht="17.14999961853027" customHeight="1" s="226">
      <c r="A11" s="230" t="inlineStr">
        <is>
          <t>自设目标 IRR</t>
        </is>
      </c>
      <c r="B11" s="234">
        <f>IF(参数!B18="","",参数!B18)</f>
        <v/>
      </c>
      <c r="C11" s="230" t="inlineStr">
        <is>
          <t>%</t>
        </is>
      </c>
      <c r="D11" s="233" t="inlineStr">
        <is>
          <t>在「参数」页B18修改</t>
        </is>
      </c>
    </row>
    <row r="12" ht="15" customHeight="1" s="226">
      <c r="A12" s="230" t="inlineStr">
        <is>
          <t>与目标 IRR 的比较</t>
        </is>
      </c>
      <c r="B12" s="236">
        <f>IF(参数!$B$2&lt;&gt;"可计算","",IF(ISNUMBER(B9),IF(B9&gt;=B11,"达到目标","未达目标"),"未计算出 IRR"))</f>
        <v/>
      </c>
      <c r="C12" s="230" t="n"/>
      <c r="D12" s="233" t="n"/>
    </row>
    <row r="13" ht="17.14999961853027" customHeight="1" s="226">
      <c r="A13" s="230" t="inlineStr">
        <is>
          <t>回报率差值（项目 IRR－目标 IRR）</t>
        </is>
      </c>
      <c r="B13" s="234">
        <f>IF(参数!$B$2&lt;&gt;"可计算","",IF(ISNUMBER(B9),B9-B11,""))</f>
        <v/>
      </c>
      <c r="C13" s="230" t="inlineStr">
        <is>
          <t>%</t>
        </is>
      </c>
      <c r="D13" s="233" t="inlineStr">
        <is>
          <t>越薄越危险：报价稍变就可能翻转</t>
        </is>
      </c>
    </row>
    <row r="14" ht="17.14999961853027" customHeight="1" s="226">
      <c r="A14" s="230" t="inlineStr">
        <is>
          <t>目标 IRR 下的 NPV</t>
        </is>
      </c>
      <c r="B14" s="232">
        <f>IF(参数!$B$2&lt;&gt;"可计算","",NPV(B11,年度测算!D25:H25)+年度测算!C25)</f>
        <v/>
      </c>
      <c r="C14" s="230" t="inlineStr">
        <is>
          <t>万元</t>
        </is>
      </c>
      <c r="D14" s="233" t="inlineStr">
        <is>
          <t>仅反映所填项目现金流与目标折现率</t>
        </is>
      </c>
    </row>
    <row r="15" ht="17.14999961853027" customHeight="1" s="226">
      <c r="A15" s="230" t="inlineStr">
        <is>
          <t>5年售出tokens</t>
        </is>
      </c>
      <c r="B15" s="232">
        <f>IF(参数!$B$2&lt;&gt;"可计算","",年度测算!I6/1000000)</f>
        <v/>
      </c>
      <c r="C15" s="230" t="inlineStr">
        <is>
          <t>万亿tokens</t>
        </is>
      </c>
      <c r="D15" s="233" t="n"/>
    </row>
    <row r="16" ht="17.14999961853027" customHeight="1" s="226">
      <c r="A16" s="230" t="inlineStr">
        <is>
          <t>平均实现售价</t>
        </is>
      </c>
      <c r="B16" s="232">
        <f>IF(参数!$B$2&lt;&gt;"可计算","",年度测算!I5*10000/年度测算!I6)</f>
        <v/>
      </c>
      <c r="C16" s="230" t="inlineStr">
        <is>
          <t>元/百万tokens</t>
        </is>
      </c>
      <c r="D16" s="233" t="inlineStr">
        <is>
          <t>含税收入÷售出tokens</t>
        </is>
      </c>
    </row>
    <row r="17" ht="17.14999961853027" customHeight="1" s="226">
      <c r="A17" s="230" t="inlineStr">
        <is>
          <t>自购方案单位成本（未计资金成本）</t>
        </is>
      </c>
      <c r="B17" s="232">
        <f>IF(参数!$B$2&lt;&gt;"可计算","",IFERROR(((年度测算!C3-年度测算!D17)*(1-参数!B14)+年度测算!I15)*10000/年度测算!I6,""))</f>
        <v/>
      </c>
      <c r="C17" s="230" t="inlineStr">
        <is>
          <t>元/百万tokens</t>
        </is>
      </c>
      <c r="D17" s="233" t="inlineStr">
        <is>
          <t>净 CAPEX（扣可抵扣设备进项税）及现金 OPEX，未计资金成本</t>
        </is>
      </c>
    </row>
    <row r="18">
      <c r="A18" s="230" t="n"/>
      <c r="B18" s="230" t="n"/>
      <c r="C18" s="230" t="n"/>
      <c r="D18" s="230" t="n"/>
    </row>
    <row r="19">
      <c r="A19" s="237" t="inlineStr">
        <is>
          <t>当前测算状态</t>
        </is>
      </c>
      <c r="B19" s="237">
        <f>参数!B2</f>
        <v/>
      </c>
      <c r="C19" s="230" t="n"/>
      <c r="D19" s="230" t="n"/>
    </row>
    <row r="20" ht="30" customHeight="1" s="226">
      <c r="A20" s="237" t="inlineStr">
        <is>
          <t>敏感性：目标 IRR 情景</t>
        </is>
      </c>
      <c r="B20" s="237" t="inlineStr">
        <is>
          <t>目标 IRR</t>
        </is>
      </c>
      <c r="C20" s="237" t="inlineStr">
        <is>
          <t>是否达标</t>
        </is>
      </c>
      <c r="D20" s="237" t="inlineStr">
        <is>
          <t>按该目标折现的NPV(万元)</t>
        </is>
      </c>
    </row>
    <row r="21" ht="26" customHeight="1" s="226">
      <c r="A21" s="230" t="inlineStr">
        <is>
          <t>情景 1</t>
        </is>
      </c>
      <c r="B21" s="238" t="n">
        <v>0.08</v>
      </c>
      <c r="C21" s="230">
        <f>IF(参数!$B$2&lt;&gt;"可计算","",IF(ISNUMBER($B$9),IF($B$9&gt;=B21,"✅ 达到","❌ 未达"),"❌ 未回收"))</f>
        <v/>
      </c>
      <c r="D21" s="239">
        <f>IF(参数!$B$2&lt;&gt;"可计算","",NPV(B21,年度测算!$D$25:$H$25)+年度测算!$C$25)</f>
        <v/>
      </c>
    </row>
    <row r="22" ht="26" customHeight="1" s="226">
      <c r="A22" s="230" t="inlineStr">
        <is>
          <t>情景 2</t>
        </is>
      </c>
      <c r="B22" s="238" t="n">
        <v>0.1</v>
      </c>
      <c r="C22" s="230">
        <f>IF(参数!$B$2&lt;&gt;"可计算","",IF(ISNUMBER($B$9),IF($B$9&gt;=B22,"✅ 达到","❌ 未达"),"❌ 未回收"))</f>
        <v/>
      </c>
      <c r="D22" s="239">
        <f>IF(参数!$B$2&lt;&gt;"可计算","",NPV(B22,年度测算!$D$25:$H$25)+年度测算!$C$25)</f>
        <v/>
      </c>
    </row>
    <row r="23" ht="26" customHeight="1" s="226">
      <c r="A23" s="230" t="inlineStr">
        <is>
          <t>情景 3</t>
        </is>
      </c>
      <c r="B23" s="238" t="n">
        <v>0.15</v>
      </c>
      <c r="C23" s="230">
        <f>IF(参数!$B$2&lt;&gt;"可计算","",IF(ISNUMBER($B$9),IF($B$9&gt;=B23,"✅ 达到","❌ 未达"),"❌ 未回收"))</f>
        <v/>
      </c>
      <c r="D23" s="239">
        <f>IF(参数!$B$2&lt;&gt;"可计算","",NPV(B23,年度测算!$D$25:$H$25)+年度测算!$C$25)</f>
        <v/>
      </c>
    </row>
    <row r="25" ht="62" customHeight="1" s="226">
      <c r="A25" s="240" t="inlineStr">
        <is>
          <t>敏感性分析：调整售价、运转率、设备成本和模型吞吐，观察结果变化；不要仅凭单次情景测算决定投资。</t>
        </is>
      </c>
      <c r="B25" s="228" t="n"/>
      <c r="C25" s="228" t="n"/>
      <c r="D25" s="228" t="n"/>
    </row>
    <row r="27" ht="57" customHeight="1" s="226">
      <c r="A27" s="240" t="inlineStr">
        <is>
          <t>本工具由创羽昀提供。按实际报价与实测数据填写；如需结合业务条件复核模型，可访问 yuyunai.cn 了解服务与联系方式。</t>
        </is>
      </c>
      <c r="B27" s="228" t="n"/>
      <c r="C27" s="228" t="n"/>
      <c r="D27" s="228" t="n"/>
    </row>
    <row r="28">
      <c r="A28" s="240" t="inlineStr">
        <is>
          <t>输入原则：全部敏感报价与吞吐由使用者自填</t>
        </is>
      </c>
    </row>
    <row r="29">
      <c r="A29" s="240" t="inlineStr">
        <is>
          <t>报价口径：请统一自购、租用与 API 的税费和服务范围</t>
        </is>
      </c>
    </row>
    <row r="30">
      <c r="A30" s="240" t="inlineStr">
        <is>
          <t>结果说明：完整测算前不展示 IRR、NPV 或方案优劣</t>
        </is>
      </c>
    </row>
  </sheetData>
  <mergeCells count="4">
    <mergeCell ref="A1:D1"/>
    <mergeCell ref="A25:D25"/>
    <mergeCell ref="A27:D27"/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1" workbookViewId="0">
      <pane ySplit="4" topLeftCell="A5" activePane="bottomLeft" state="frozen"/>
      <selection activeCell="A1" sqref="A1"/>
    </sheetView>
  </sheetViews>
  <sheetFormatPr baseColWidth="8" defaultColWidth="8.6796875" defaultRowHeight="15"/>
  <cols>
    <col width="43" customWidth="1" style="226" min="1" max="1"/>
    <col width="23" customWidth="1" style="226" min="2" max="2"/>
    <col width="21" customWidth="1" style="226" min="3" max="3"/>
    <col width="59" customWidth="1" style="226" min="4" max="4"/>
  </cols>
  <sheetData>
    <row r="1" ht="46" customHeight="1" s="226">
      <c r="A1" s="227" t="inlineStr">
        <is>
          <t>三种使用方式对比｜自购设备、租用 GPU 与购买 API</t>
        </is>
      </c>
      <c r="B1" s="228" t="n"/>
      <c r="C1" s="228" t="n"/>
      <c r="D1" s="228" t="n"/>
    </row>
    <row r="2" ht="38" customHeight="1" s="226">
      <c r="A2" s="229" t="inlineStr">
        <is>
          <t>全部方案按照相同的预估售出 Token 量比较。API 与租 GPU 报价须自行填写；没有报价时不输出优劣结论。比较仅供初筛，详见「说明」。</t>
        </is>
      </c>
      <c r="B2" s="228" t="n"/>
      <c r="C2" s="228" t="n"/>
      <c r="D2" s="228" t="n"/>
    </row>
    <row r="3">
      <c r="A3" s="230" t="n"/>
      <c r="B3" s="230" t="n"/>
      <c r="C3" s="230" t="n"/>
      <c r="D3" s="230" t="n"/>
    </row>
    <row r="4" ht="28" customHeight="1" s="226">
      <c r="A4" s="231" t="inlineStr">
        <is>
          <t>输入</t>
        </is>
      </c>
      <c r="B4" s="231" t="inlineStr">
        <is>
          <t>值</t>
        </is>
      </c>
      <c r="C4" s="231" t="inlineStr">
        <is>
          <t>单位</t>
        </is>
      </c>
      <c r="D4" s="241" t="inlineStr">
        <is>
          <t>说明</t>
        </is>
      </c>
    </row>
    <row r="5" ht="28" customHeight="1" s="226">
      <c r="A5" s="230" t="inlineStr">
        <is>
          <t>API 输入 Token 报价</t>
        </is>
      </c>
      <c r="B5" s="242" t="n"/>
      <c r="C5" s="230" t="inlineStr">
        <is>
          <t>元/百万tokens</t>
        </is>
      </c>
      <c r="D5" s="233" t="inlineStr">
        <is>
          <t>填实际报价；需与自购模型服务等级和税费口径一致</t>
        </is>
      </c>
    </row>
    <row r="6" ht="28" customHeight="1" s="226">
      <c r="A6" s="230" t="inlineStr">
        <is>
          <t>API 输出 Token 报价</t>
        </is>
      </c>
      <c r="B6" s="242" t="n"/>
      <c r="C6" s="230" t="inlineStr">
        <is>
          <t>元/百万tokens</t>
        </is>
      </c>
      <c r="D6" s="233" t="inlineStr">
        <is>
          <t>填实际报价；不使用模型售价自动代替 API 价格</t>
        </is>
      </c>
    </row>
    <row r="7" ht="28" customHeight="1" s="226">
      <c r="A7" s="230" t="inlineStr">
        <is>
          <t>GPU 租赁报价</t>
        </is>
      </c>
      <c r="B7" s="242" t="n"/>
      <c r="C7" s="230" t="inlineStr">
        <is>
          <t>元/卡/小时</t>
        </is>
      </c>
      <c r="D7" s="233" t="inlineStr">
        <is>
          <t>按整段租用小时计；运维、电费、带宽可能另计</t>
        </is>
      </c>
    </row>
    <row r="8" ht="28" customHeight="1" s="226">
      <c r="A8" s="230" t="inlineStr">
        <is>
          <t>自设目标 IRR</t>
        </is>
      </c>
      <c r="B8" s="243">
        <f>IF(参数!B18="","",参数!B18)</f>
        <v/>
      </c>
      <c r="C8" s="230" t="inlineStr">
        <is>
          <t>%</t>
        </is>
      </c>
      <c r="D8" s="233" t="inlineStr">
        <is>
          <t>即自建资金的机会成本/目标回报，在参数页修改</t>
        </is>
      </c>
    </row>
    <row r="9">
      <c r="A9" s="230" t="n"/>
      <c r="B9" s="244" t="n"/>
      <c r="C9" s="230" t="n"/>
      <c r="D9" s="233" t="n"/>
    </row>
    <row r="10" ht="15" customHeight="1" s="226">
      <c r="A10" s="231" t="inlineStr">
        <is>
          <t>中间量</t>
        </is>
      </c>
      <c r="B10" s="245" t="inlineStr">
        <is>
          <t>值</t>
        </is>
      </c>
      <c r="C10" s="231" t="inlineStr">
        <is>
          <t>单位</t>
        </is>
      </c>
      <c r="D10" s="241" t="inlineStr">
        <is>
          <t>说明</t>
        </is>
      </c>
    </row>
    <row r="11" ht="17.14999961853027" customHeight="1" s="226">
      <c r="A11" s="230" t="inlineStr">
        <is>
          <t>输入token占比</t>
        </is>
      </c>
      <c r="B11" s="243">
        <f>IF(参数!$B$2&lt;&gt;"可计算","",IFERROR(参数!K30/参数!I30,""))</f>
        <v/>
      </c>
      <c r="C11" s="230" t="inlineStr">
        <is>
          <t>%</t>
        </is>
      </c>
      <c r="D11" s="233" t="inlineStr">
        <is>
          <t>由模型配比和吞吐决定</t>
        </is>
      </c>
    </row>
    <row r="12" ht="17.14999961853027" customHeight="1" s="226">
      <c r="A12" s="230" t="inlineStr">
        <is>
          <t>每卡每小时售出tokens</t>
        </is>
      </c>
      <c r="B12" s="246">
        <f>IF(参数!$B$2&lt;&gt;"可计算","",IFERROR(参数!I30/(参数!B4*8)*3600*AVERAGE(参数!B21:F21)*参数!B10/1000000,""))</f>
        <v/>
      </c>
      <c r="C12" s="230" t="inlineStr">
        <is>
          <t>百万tokens</t>
        </is>
      </c>
      <c r="D12" s="233" t="inlineStr">
        <is>
          <t>按5年平均运转率与售出率</t>
        </is>
      </c>
    </row>
    <row r="13" ht="17.14999961853027" customHeight="1" s="226">
      <c r="A13" s="230" t="inlineStr">
        <is>
          <t>5年售出tokens</t>
        </is>
      </c>
      <c r="B13" s="246">
        <f>IF(参数!$B$2&lt;&gt;"可计算","",年度测算!I6)</f>
        <v/>
      </c>
      <c r="C13" s="230" t="inlineStr">
        <is>
          <t>百万tokens</t>
        </is>
      </c>
      <c r="D13" s="233" t="inlineStr">
        <is>
          <t>单位：百万 Tokens（五年累计总量）</t>
        </is>
      </c>
    </row>
    <row r="14">
      <c r="A14" s="230" t="n"/>
      <c r="B14" s="244" t="n"/>
      <c r="C14" s="230" t="n"/>
      <c r="D14" s="233" t="n"/>
    </row>
    <row r="15" ht="27" customHeight="1" s="226">
      <c r="A15" s="237" t="inlineStr">
        <is>
          <t>方案</t>
        </is>
      </c>
      <c r="B15" s="247" t="inlineStr">
        <is>
          <t>每百万tokens成本</t>
        </is>
      </c>
      <c r="C15" s="237" t="inlineStr">
        <is>
          <t>单位</t>
        </is>
      </c>
      <c r="D15" s="248" t="inlineStr">
        <is>
          <t>说明</t>
        </is>
      </c>
    </row>
    <row r="16" ht="31" customHeight="1" s="226">
      <c r="A16" s="230" t="inlineStr">
        <is>
          <t>A 自购设备（按目标 IRR 折现）</t>
        </is>
      </c>
      <c r="B16" s="232">
        <f>IF(参数!$B$2&lt;&gt;"可计算","",IFERROR(((年度测算!C3-年度测算!D17)-年度测算!H24/(1+B8)^5+NPV(B8,年度测算!D15:H15))*10000/NPV(B8,年度测算!D6:H6),""))</f>
        <v/>
      </c>
      <c r="C16" s="230" t="inlineStr">
        <is>
          <t>元/百万tokens</t>
        </is>
      </c>
      <c r="D16" s="233" t="inlineStr">
        <is>
          <t>净 CAPEX + OPEX 折现；未计融资利息/所得税等完整税务影响</t>
        </is>
      </c>
    </row>
    <row r="17" ht="31" customHeight="1" s="226">
      <c r="A17" s="230" t="inlineStr">
        <is>
          <t>A′ 自购设备（不计资金成本）</t>
        </is>
      </c>
      <c r="B17" s="232">
        <f>IF(参数!$B$2&lt;&gt;"可计算","",结论!B17)</f>
        <v/>
      </c>
      <c r="C17" s="230" t="inlineStr">
        <is>
          <t>元/百万tokens</t>
        </is>
      </c>
      <c r="D17" s="233" t="inlineStr">
        <is>
          <t>简单全成本对照，不能代替贴现测算</t>
        </is>
      </c>
    </row>
    <row r="18" ht="31" customHeight="1" s="226">
      <c r="A18" s="230" t="inlineStr">
        <is>
          <t>B 租用 GPU 自行运行</t>
        </is>
      </c>
      <c r="B18" s="232">
        <f>IF(OR(参数!$B$2&lt;&gt;"可计算",NOT(ISNUMBER(B7)),NOT(ISNUMBER(B12)),B12&lt;=0),"",B7/B12)</f>
        <v/>
      </c>
      <c r="C18" s="230" t="inlineStr">
        <is>
          <t>元/百万tokens</t>
        </is>
      </c>
      <c r="D18" s="233" t="inlineStr">
        <is>
          <t>GPU 租金÷每卡每小时售出 Token；不含另付运维费用</t>
        </is>
      </c>
    </row>
    <row r="19" ht="31" customHeight="1" s="226">
      <c r="A19" s="230" t="inlineStr">
        <is>
          <t>C 购买模型 API</t>
        </is>
      </c>
      <c r="B19" s="232">
        <f>IF(OR(参数!$B$2&lt;&gt;"可计算",NOT(ISNUMBER(B5)),NOT(ISNUMBER(B6)),NOT(ISNUMBER(B11))),"",B11*B5+(1-B11)*B6)</f>
        <v/>
      </c>
      <c r="C19" s="230" t="inlineStr">
        <is>
          <t>元/百万tokens</t>
        </is>
      </c>
      <c r="D19" s="233" t="inlineStr">
        <is>
          <t>需要自填 API 输入、输出两项报价；不自动套用自售价格</t>
        </is>
      </c>
    </row>
    <row r="20">
      <c r="A20" s="230" t="n"/>
      <c r="B20" s="244" t="n"/>
      <c r="C20" s="230" t="n"/>
      <c r="D20" s="233" t="n"/>
    </row>
    <row r="21" ht="32" customHeight="1" s="226">
      <c r="A21" s="230" t="inlineStr">
        <is>
          <t>自建 vs API</t>
        </is>
      </c>
      <c r="B21" s="246">
        <f>IF(参数!$B$2&lt;&gt;"可计算","",IF(OR(NOT(ISNUMBER(B16)),NOT(ISNUMBER(B19)),B16&lt;=0,B19&lt;=0),"请填写有效 API 报价",IF(B16&lt;B19,"自购更省："&amp;TEXT(1-B16/B19,"0%"),"API 更省："&amp;TEXT(1-B19/B16,"0%"))))</f>
        <v/>
      </c>
      <c r="C21" s="230" t="n"/>
      <c r="D21" s="233" t="n"/>
    </row>
    <row r="22" ht="32" customHeight="1" s="226">
      <c r="A22" s="230" t="inlineStr">
        <is>
          <t>租用盈亏线</t>
        </is>
      </c>
      <c r="B22" s="246">
        <f>IF(OR(参数!$B$2&lt;&gt;"可计算",NOT(ISNUMBER(B19)),NOT(ISNUMBER(B12)),B12&lt;=0),"",B19*B12)</f>
        <v/>
      </c>
      <c r="C22" s="230" t="inlineStr">
        <is>
          <t>元/卡/小时</t>
        </is>
      </c>
      <c r="D22" s="233" t="inlineStr">
        <is>
          <t>仅供参考，尚未计入租卡运维、人力、SLA 等差异</t>
        </is>
      </c>
    </row>
    <row r="24" ht="65" customHeight="1" s="226">
      <c r="A24" s="249" t="inlineStr">
        <is>
          <t>注意：三种方案在税费、SLA、运维、吞吐、上下文、故障成本和进项抵扣上可能不同；比较时请核对统一口径，不能据此替代完整尽调。</t>
        </is>
      </c>
      <c r="B24" s="228" t="n"/>
      <c r="C24" s="228" t="n"/>
      <c r="D24" s="228" t="n"/>
    </row>
  </sheetData>
  <mergeCells count="3">
    <mergeCell ref="A1:D1"/>
    <mergeCell ref="A24:D24"/>
    <mergeCell ref="A2:D2"/>
  </mergeCells>
  <dataValidations count="1">
    <dataValidation sqref="B5:B7" showDropDown="0" showInputMessage="0" showErrorMessage="1" allowBlank="1" errorTitle="参数范围有误" error="外部报价不得为负" type="decimal" errorStyle="stop" operator="between">
      <formula1>0</formula1>
      <formula2>100000000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2"/>
  <sheetViews>
    <sheetView showGridLines="1" workbookViewId="0">
      <pane ySplit="3" topLeftCell="A4" activePane="bottomLeft" state="frozen"/>
      <selection activeCell="A1" sqref="A1"/>
    </sheetView>
  </sheetViews>
  <sheetFormatPr baseColWidth="8" defaultColWidth="8.6796875" defaultRowHeight="15"/>
  <cols>
    <col width="29" customWidth="1" style="226" min="1" max="1"/>
    <col width="23" customWidth="1" style="226" min="2" max="2"/>
    <col width="15" customWidth="1" style="226" min="3" max="3"/>
    <col width="33" customWidth="1" style="226" min="4" max="4"/>
    <col width="20" customWidth="1" style="226" min="5" max="5"/>
    <col width="26" customWidth="1" style="226" min="6" max="6"/>
    <col width="26" customWidth="1" style="226" min="7" max="7"/>
    <col width="25" customWidth="1" style="226" min="8" max="8"/>
    <col width="24" customWidth="1" style="226" min="9" max="9"/>
    <col width="42" customWidth="1" style="226" min="10" max="10"/>
    <col width="26" customWidth="1" style="226" min="11" max="11"/>
  </cols>
  <sheetData>
    <row r="1" ht="42" customHeight="1" s="226">
      <c r="A1" s="227" t="inlineStr">
        <is>
          <t>GPU 算力经济性测算工具｜参数输入（公开版 v1.1）</t>
        </is>
      </c>
      <c r="B1" s="228" t="n"/>
      <c r="C1" s="228" t="n"/>
      <c r="D1" s="228" t="n"/>
      <c r="E1" s="250" t="n"/>
      <c r="F1" s="250" t="n"/>
      <c r="G1" s="250" t="n"/>
      <c r="H1" s="250" t="n"/>
      <c r="I1" s="250" t="n"/>
      <c r="J1" s="250" t="n"/>
      <c r="K1" s="250" t="n"/>
    </row>
    <row r="2" ht="36" customHeight="1" s="226">
      <c r="A2" s="251" t="inlineStr">
        <is>
          <t>填写状态</t>
        </is>
      </c>
      <c r="B2" s="252">
        <f>IF(COUNT(B4:B18)&lt;15,"待填基础",IF(COUNT(B21:F23)&lt;15,"待填年度",IF(SUM(B27:B29)&lt;=0,"待填配比",IF(OR(AND(B27&gt;0,COUNT(C27:G27)&lt;5),AND(B28&gt;0,COUNT(C28:G28)&lt;5),AND(B29&gt;0,COUNT(C29:G29)&lt;5)),"待填模型",IF(OR(B4&lt;=0,B5&lt;=0,B6&lt;1,B7&lt;0,B8&lt;0,B8&gt;1,B9&lt;0,B9&gt;1,B10&lt;=0,B10&gt;1,B11&lt;=0,B12&lt;0,B12&gt;1,B13&lt;0,B13&gt;1,B14&lt;0,B14&gt;1,B15&lt;0,B15&gt;1,B16&lt;0,B16&gt;1,B17&lt;1,B17&gt;5,B17&lt;&gt;INT(B17),B18&lt;0,B18&gt;=1,MIN(B21:F21)&lt;0,MAX(B21:F21)&gt;1,MIN(B22:F23)&lt;0,MIN(B27:B29)&lt;0,SUM(B27:B29)&gt;B4,AND(B27&gt;0,OR(C27&lt;=0,C27&gt;8,IFERROR(MOD(8,C27),1)&lt;&gt;0,D27&lt;0,E27&lt;0,D27+E27&lt;=0,F27&lt;0,G27&lt;0)),AND(B28&gt;0,OR(C28&lt;=0,C28&gt;8,IFERROR(MOD(8,C28),1)&lt;&gt;0,D28&lt;0,E28&lt;0,D28+E28&lt;=0,F28&lt;0,G28&lt;0)),AND(B29&gt;0,OR(C29&lt;=0,C29&gt;8,IFERROR(MOD(8,C29),1)&lt;&gt;0,D29&lt;0,E29&lt;0,D29+E29&lt;=0,F29&lt;0,G29&lt;0))),"参数有误","可计算")))))</f>
        <v/>
      </c>
      <c r="D2" s="253" t="inlineStr">
        <is>
          <t>黄色单元格请填写自己的报价与实测数据；本公开版不预置成本、吞吐或模型价格。</t>
        </is>
      </c>
      <c r="E2" s="228" t="n"/>
      <c r="F2" s="228" t="n"/>
      <c r="G2" s="228" t="n"/>
      <c r="H2" s="228" t="n"/>
      <c r="I2" s="228" t="n"/>
      <c r="J2" s="228" t="n"/>
      <c r="K2" s="228" t="n"/>
    </row>
    <row r="3" ht="15" customHeight="1" s="226">
      <c r="A3" s="231" t="inlineStr">
        <is>
          <t>参数</t>
        </is>
      </c>
      <c r="B3" s="231" t="inlineStr">
        <is>
          <t>值</t>
        </is>
      </c>
      <c r="C3" s="231" t="inlineStr">
        <is>
          <t>单位</t>
        </is>
      </c>
      <c r="D3" s="231" t="inlineStr">
        <is>
          <t>说明</t>
        </is>
      </c>
      <c r="E3" s="230" t="n"/>
      <c r="F3" s="230" t="n"/>
      <c r="G3" s="230" t="n"/>
      <c r="H3" s="230" t="n"/>
      <c r="I3" s="230" t="n"/>
      <c r="J3" s="230" t="n"/>
      <c r="K3" s="230" t="n"/>
    </row>
    <row r="4" ht="28" customHeight="1" s="226">
      <c r="A4" s="230" t="inlineStr">
        <is>
          <t>H200服务器台数</t>
        </is>
      </c>
      <c r="B4" s="254" t="n"/>
      <c r="C4" s="230" t="inlineStr">
        <is>
          <t>台</t>
        </is>
      </c>
      <c r="D4" s="233" t="inlineStr">
        <is>
          <t>单台为 8 GPU 服务器（按实际设备调整模板假设）</t>
        </is>
      </c>
      <c r="E4" s="230" t="n"/>
      <c r="F4" s="230" t="n"/>
      <c r="G4" s="230" t="n"/>
      <c r="H4" s="230" t="n"/>
      <c r="I4" s="230" t="n"/>
      <c r="J4" s="230" t="n"/>
      <c r="K4" s="230" t="n"/>
    </row>
    <row r="5" ht="28" customHeight="1" s="226">
      <c r="A5" s="230" t="inlineStr">
        <is>
          <t>单台服务器价格</t>
        </is>
      </c>
      <c r="B5" s="242" t="n"/>
      <c r="C5" s="230" t="inlineStr">
        <is>
          <t>万元/台</t>
        </is>
      </c>
      <c r="D5" s="233" t="inlineStr">
        <is>
          <t>填写自有报价，注明含税口径</t>
        </is>
      </c>
      <c r="E5" s="230" t="n"/>
      <c r="F5" s="230" t="n"/>
      <c r="G5" s="230" t="n"/>
      <c r="H5" s="230" t="n"/>
      <c r="I5" s="230" t="n"/>
      <c r="J5" s="230" t="n"/>
      <c r="K5" s="230" t="n"/>
    </row>
    <row r="6" ht="28" customHeight="1" s="226">
      <c r="A6" s="230" t="inlineStr">
        <is>
          <t>存储/网络/配套系数</t>
        </is>
      </c>
      <c r="B6" s="242" t="n"/>
      <c r="C6" s="230" t="inlineStr">
        <is>
          <t>倍</t>
        </is>
      </c>
      <c r="D6" s="233" t="inlineStr">
        <is>
          <t>配套投资总额与设备金额的比例；通常不得低于 1</t>
        </is>
      </c>
      <c r="E6" s="230" t="n"/>
      <c r="F6" s="230" t="n"/>
      <c r="G6" s="230" t="n"/>
      <c r="H6" s="230" t="n"/>
      <c r="I6" s="230" t="n"/>
      <c r="J6" s="230" t="n"/>
      <c r="K6" s="230" t="n"/>
    </row>
    <row r="7" ht="28" customHeight="1" s="226">
      <c r="A7" s="230" t="inlineStr">
        <is>
          <t>IDC机柜+电费</t>
        </is>
      </c>
      <c r="B7" s="242" t="n"/>
      <c r="C7" s="230" t="inlineStr">
        <is>
          <t>万元/台/月</t>
        </is>
      </c>
      <c r="D7" s="233" t="inlineStr">
        <is>
          <t>包含机柜和电力的每台服务器月成本</t>
        </is>
      </c>
      <c r="E7" s="230" t="n"/>
      <c r="F7" s="230" t="n"/>
      <c r="G7" s="230" t="n"/>
      <c r="H7" s="230" t="n"/>
      <c r="I7" s="230" t="n"/>
      <c r="J7" s="230" t="n"/>
      <c r="K7" s="230" t="n"/>
    </row>
    <row r="8" ht="28" customHeight="1" s="226">
      <c r="A8" s="230" t="inlineStr">
        <is>
          <t>人力成本占收入</t>
        </is>
      </c>
      <c r="B8" s="255" t="n"/>
      <c r="C8" s="230" t="inlineStr">
        <is>
          <t>%</t>
        </is>
      </c>
      <c r="D8" s="233" t="n"/>
      <c r="E8" s="230" t="n"/>
      <c r="F8" s="230" t="n"/>
      <c r="G8" s="230" t="n"/>
      <c r="H8" s="230" t="n"/>
      <c r="I8" s="230" t="n"/>
      <c r="J8" s="230" t="n"/>
      <c r="K8" s="230" t="n"/>
    </row>
    <row r="9" ht="28" customHeight="1" s="226">
      <c r="A9" s="230" t="inlineStr">
        <is>
          <t>平台/渠道/支付费率</t>
        </is>
      </c>
      <c r="B9" s="255" t="n"/>
      <c r="C9" s="230" t="inlineStr">
        <is>
          <t>%</t>
        </is>
      </c>
      <c r="D9" s="233" t="n"/>
      <c r="E9" s="230" t="n"/>
      <c r="F9" s="230" t="n"/>
      <c r="G9" s="230" t="n"/>
      <c r="H9" s="230" t="n"/>
      <c r="I9" s="230" t="n"/>
      <c r="J9" s="230" t="n"/>
      <c r="K9" s="230" t="n"/>
    </row>
    <row r="10" ht="28" customHeight="1" s="226">
      <c r="A10" s="230" t="inlineStr">
        <is>
          <t>收费/售出率</t>
        </is>
      </c>
      <c r="B10" s="255" t="n"/>
      <c r="C10" s="230" t="inlineStr">
        <is>
          <t>%</t>
        </is>
      </c>
      <c r="D10" s="233" t="inlineStr">
        <is>
          <t>产出token中能卖出去的比例</t>
        </is>
      </c>
      <c r="E10" s="230" t="n"/>
      <c r="F10" s="230" t="n"/>
      <c r="G10" s="230" t="n"/>
      <c r="H10" s="230" t="n"/>
      <c r="I10" s="230" t="n"/>
      <c r="J10" s="230" t="n"/>
      <c r="K10" s="230" t="n"/>
    </row>
    <row r="11" ht="28" customHeight="1" s="226">
      <c r="A11" s="230" t="inlineStr">
        <is>
          <t>整体售价系数</t>
        </is>
      </c>
      <c r="B11" s="242" t="n"/>
      <c r="C11" s="230" t="inlineStr">
        <is>
          <t>倍</t>
        </is>
      </c>
      <c r="D11" s="233" t="inlineStr">
        <is>
          <t>按下方模型单价的整体折算系数，自行设定</t>
        </is>
      </c>
      <c r="E11" s="230" t="n"/>
      <c r="F11" s="230" t="n"/>
      <c r="G11" s="230" t="n"/>
      <c r="H11" s="230" t="n"/>
      <c r="I11" s="230" t="n"/>
      <c r="J11" s="230" t="n"/>
      <c r="K11" s="230" t="n"/>
    </row>
    <row r="12" ht="28" customHeight="1" s="226">
      <c r="A12" s="230" t="inlineStr">
        <is>
          <t>所得税率</t>
        </is>
      </c>
      <c r="B12" s="255" t="n"/>
      <c r="C12" s="230" t="inlineStr">
        <is>
          <t>%</t>
        </is>
      </c>
      <c r="D12" s="233" t="inlineStr">
        <is>
          <t>根据项目实际税收政策填写，不预设优惠税率</t>
        </is>
      </c>
      <c r="E12" s="230" t="n"/>
      <c r="F12" s="230" t="n"/>
      <c r="G12" s="230" t="n"/>
      <c r="H12" s="230" t="n"/>
      <c r="I12" s="230" t="n"/>
      <c r="J12" s="230" t="n"/>
      <c r="K12" s="230" t="n"/>
    </row>
    <row r="13" ht="28" customHeight="1" s="226">
      <c r="A13" s="230" t="inlineStr">
        <is>
          <t>维保费率（从起始年计）</t>
        </is>
      </c>
      <c r="B13" s="255" t="n"/>
      <c r="C13" s="230" t="inlineStr">
        <is>
          <t>%/年</t>
        </is>
      </c>
      <c r="D13" s="233" t="inlineStr">
        <is>
          <t>按CAPEX计</t>
        </is>
      </c>
      <c r="E13" s="230" t="n"/>
      <c r="F13" s="230" t="n"/>
      <c r="G13" s="230" t="n"/>
      <c r="H13" s="230" t="n"/>
      <c r="I13" s="230" t="n"/>
      <c r="J13" s="230" t="n"/>
      <c r="K13" s="230" t="n"/>
    </row>
    <row r="14" ht="28" customHeight="1" s="226">
      <c r="A14" s="230" t="inlineStr">
        <is>
          <t>残值率</t>
        </is>
      </c>
      <c r="B14" s="255" t="n"/>
      <c r="C14" s="230" t="inlineStr">
        <is>
          <t>%</t>
        </is>
      </c>
      <c r="D14" s="233" t="inlineStr">
        <is>
          <t>5年后</t>
        </is>
      </c>
      <c r="E14" s="230" t="n"/>
      <c r="F14" s="230" t="n"/>
      <c r="G14" s="230" t="n"/>
      <c r="H14" s="230" t="n"/>
      <c r="I14" s="230" t="n"/>
      <c r="J14" s="230" t="n"/>
      <c r="K14" s="230" t="n"/>
    </row>
    <row r="15" ht="28" customHeight="1" s="226">
      <c r="A15" s="230" t="inlineStr">
        <is>
          <t>销售销项税率</t>
        </is>
      </c>
      <c r="B15" s="255" t="n"/>
      <c r="C15" s="230" t="inlineStr">
        <is>
          <t>%</t>
        </is>
      </c>
      <c r="D15" s="233" t="inlineStr">
        <is>
          <t>按实际销售业务税率填写；简化模型</t>
        </is>
      </c>
      <c r="E15" s="230" t="n"/>
      <c r="F15" s="230" t="n"/>
      <c r="G15" s="230" t="n"/>
      <c r="H15" s="230" t="n"/>
      <c r="I15" s="230" t="n"/>
      <c r="J15" s="230" t="n"/>
      <c r="K15" s="230" t="n"/>
    </row>
    <row r="16" ht="28" customHeight="1" s="226">
      <c r="A16" s="230" t="inlineStr">
        <is>
          <t>设备可抵扣进项税率</t>
        </is>
      </c>
      <c r="B16" s="255" t="n"/>
      <c r="C16" s="230" t="inlineStr">
        <is>
          <t>%</t>
        </is>
      </c>
      <c r="D16" s="233" t="inlineStr">
        <is>
          <t>按可抵扣设备部分与实际税率填写；简化模型</t>
        </is>
      </c>
      <c r="E16" s="230" t="n"/>
      <c r="F16" s="230" t="n"/>
      <c r="G16" s="230" t="n"/>
      <c r="H16" s="230" t="n"/>
      <c r="I16" s="230" t="n"/>
      <c r="J16" s="230" t="n"/>
      <c r="K16" s="230" t="n"/>
    </row>
    <row r="17" ht="28" customHeight="1" s="226">
      <c r="A17" s="230" t="inlineStr">
        <is>
          <t>维保/运维起始年</t>
        </is>
      </c>
      <c r="B17" s="254" t="n"/>
      <c r="C17" s="230" t="inlineStr">
        <is>
          <t>第N年</t>
        </is>
      </c>
      <c r="D17" s="233" t="inlineStr">
        <is>
          <t>第几年开始计收维保；填写 1–5</t>
        </is>
      </c>
      <c r="E17" s="230" t="n"/>
      <c r="F17" s="230" t="n"/>
      <c r="G17" s="230" t="n"/>
      <c r="H17" s="230" t="n"/>
      <c r="I17" s="230" t="n"/>
      <c r="J17" s="230" t="n"/>
      <c r="K17" s="230" t="n"/>
    </row>
    <row r="18" ht="28" customHeight="1" s="226">
      <c r="A18" s="230" t="inlineStr">
        <is>
          <t>目标IRR（你的门槛）</t>
        </is>
      </c>
      <c r="B18" s="256" t="n"/>
      <c r="C18" s="230" t="inlineStr">
        <is>
          <t>%</t>
        </is>
      </c>
      <c r="D18" s="233" t="inlineStr">
        <is>
          <t>项目自行设定的目标回报率，不引用所谓投资机构过会门槛</t>
        </is>
      </c>
      <c r="E18" s="230" t="n"/>
      <c r="F18" s="230" t="n"/>
      <c r="G18" s="230" t="n"/>
      <c r="H18" s="230" t="n"/>
      <c r="I18" s="230" t="n"/>
      <c r="J18" s="230" t="n"/>
      <c r="K18" s="230" t="n"/>
    </row>
    <row r="19">
      <c r="A19" s="230" t="n"/>
      <c r="B19" s="230" t="n"/>
      <c r="C19" s="230" t="n"/>
      <c r="D19" s="230" t="n"/>
      <c r="E19" s="230" t="n"/>
      <c r="F19" s="230" t="n"/>
      <c r="G19" s="230" t="n"/>
      <c r="H19" s="230" t="n"/>
      <c r="I19" s="230" t="n"/>
      <c r="J19" s="230" t="n"/>
      <c r="K19" s="230" t="n"/>
    </row>
    <row r="20" ht="29" customHeight="1" s="226">
      <c r="A20" s="237" t="inlineStr">
        <is>
          <t>年度参数</t>
        </is>
      </c>
      <c r="B20" s="237" t="inlineStr">
        <is>
          <t>T+1</t>
        </is>
      </c>
      <c r="C20" s="237" t="inlineStr">
        <is>
          <t>T+2</t>
        </is>
      </c>
      <c r="D20" s="237" t="inlineStr">
        <is>
          <t>T+3</t>
        </is>
      </c>
      <c r="E20" s="237" t="inlineStr">
        <is>
          <t>T+4</t>
        </is>
      </c>
      <c r="F20" s="237" t="inlineStr">
        <is>
          <t>T+5</t>
        </is>
      </c>
      <c r="G20" s="237" t="inlineStr">
        <is>
          <t>单位</t>
        </is>
      </c>
      <c r="H20" s="230" t="n"/>
      <c r="I20" s="230" t="n"/>
      <c r="J20" s="230" t="n"/>
      <c r="K20" s="230" t="n"/>
    </row>
    <row r="21" ht="15" customHeight="1" s="226">
      <c r="A21" s="230" t="inlineStr">
        <is>
          <t>有效运转率</t>
        </is>
      </c>
      <c r="B21" s="255" t="n"/>
      <c r="C21" s="255" t="n"/>
      <c r="D21" s="255" t="n"/>
      <c r="E21" s="255" t="n"/>
      <c r="F21" s="255" t="n"/>
      <c r="G21" s="230" t="inlineStr">
        <is>
          <t>%</t>
        </is>
      </c>
      <c r="H21" s="230" t="n"/>
      <c r="I21" s="230" t="n"/>
      <c r="J21" s="230" t="n"/>
      <c r="K21" s="230" t="n"/>
    </row>
    <row r="22" ht="17.14999961853027" customHeight="1" s="226">
      <c r="A22" s="230" t="inlineStr">
        <is>
          <t>固定运营费用</t>
        </is>
      </c>
      <c r="B22" s="257" t="n"/>
      <c r="C22" s="257" t="n"/>
      <c r="D22" s="257" t="n"/>
      <c r="E22" s="257" t="n"/>
      <c r="F22" s="257" t="n"/>
      <c r="G22" s="230" t="inlineStr">
        <is>
          <t>万元/年</t>
        </is>
      </c>
      <c r="H22" s="230" t="n"/>
      <c r="I22" s="230" t="n"/>
      <c r="J22" s="230" t="n"/>
      <c r="K22" s="230" t="n"/>
    </row>
    <row r="23" ht="17.14999961853027" customHeight="1" s="226">
      <c r="A23" s="230" t="inlineStr">
        <is>
          <t>软件开发/外包</t>
        </is>
      </c>
      <c r="B23" s="257" t="n"/>
      <c r="C23" s="257" t="n"/>
      <c r="D23" s="257" t="n"/>
      <c r="E23" s="257" t="n"/>
      <c r="F23" s="257" t="n"/>
      <c r="G23" s="230" t="inlineStr">
        <is>
          <t>万元/年</t>
        </is>
      </c>
      <c r="H23" s="230" t="n"/>
      <c r="I23" s="230" t="n"/>
      <c r="J23" s="230" t="n"/>
      <c r="K23" s="230" t="n"/>
    </row>
    <row r="24">
      <c r="A24" s="230" t="n"/>
      <c r="B24" s="230" t="n"/>
      <c r="C24" s="230" t="n"/>
      <c r="D24" s="230" t="n"/>
      <c r="E24" s="230" t="n"/>
      <c r="F24" s="230" t="n"/>
      <c r="G24" s="230" t="n"/>
      <c r="H24" s="230" t="n"/>
      <c r="I24" s="230" t="n"/>
      <c r="J24" s="230" t="n"/>
      <c r="K24" s="230" t="n"/>
    </row>
    <row r="25">
      <c r="A25" s="230" t="n"/>
      <c r="B25" s="230" t="n"/>
      <c r="C25" s="230" t="n"/>
      <c r="D25" s="230" t="n"/>
      <c r="E25" s="230" t="n"/>
      <c r="F25" s="230" t="n"/>
      <c r="G25" s="230" t="n"/>
      <c r="H25" s="230" t="n"/>
      <c r="I25" s="230" t="n"/>
      <c r="J25" s="230" t="n"/>
      <c r="K25" s="230" t="n"/>
    </row>
    <row r="26" ht="38" customHeight="1" s="226">
      <c r="A26" s="248" t="inlineStr">
        <is>
          <t>模型</t>
        </is>
      </c>
      <c r="B26" s="248" t="inlineStr">
        <is>
          <t>分配服务器数</t>
        </is>
      </c>
      <c r="C26" s="248" t="inlineStr">
        <is>
          <t>GPU/实例</t>
        </is>
      </c>
      <c r="D26" s="248" t="inlineStr">
        <is>
          <t>输入 TPS/实例</t>
        </is>
      </c>
      <c r="E26" s="248" t="inlineStr">
        <is>
          <t>输出 TPS/实例</t>
        </is>
      </c>
      <c r="F26" s="248" t="inlineStr">
        <is>
          <t>输入售价（元/百万 Token）</t>
        </is>
      </c>
      <c r="G26" s="248" t="inlineStr">
        <is>
          <t>输出售价（元/百万 Token）</t>
        </is>
      </c>
      <c r="H26" s="248" t="inlineStr">
        <is>
          <t>收入速率(元·M/s)</t>
        </is>
      </c>
      <c r="I26" s="248" t="inlineStr">
        <is>
          <t>产能(tokens/s)</t>
        </is>
      </c>
      <c r="J26" s="248" t="inlineStr">
        <is>
          <t>备注</t>
        </is>
      </c>
      <c r="K26" s="248" t="inlineStr">
        <is>
          <t>Input产能(tokens/s)</t>
        </is>
      </c>
    </row>
    <row r="27" ht="30" customHeight="1" s="226">
      <c r="A27" s="230" t="inlineStr">
        <is>
          <t>模型 A（自行命名）</t>
        </is>
      </c>
      <c r="B27" s="254" t="n"/>
      <c r="C27" s="254" t="n"/>
      <c r="D27" s="257" t="n"/>
      <c r="E27" s="257" t="n"/>
      <c r="F27" s="257" t="n"/>
      <c r="G27" s="257" t="n"/>
      <c r="H27" s="258">
        <f>IF(OR(NOT(ISNUMBER(B27)),B27&lt;=0,COUNT(C27:G27)&lt;5,C27&lt;=0),"",IFERROR(B27*8/C27*(D27*F27+E27*G27),""))</f>
        <v/>
      </c>
      <c r="I27" s="258">
        <f>IF(OR(NOT(ISNUMBER(B27)),B27&lt;=0,COUNT(C27:G27)&lt;5,C27&lt;=0),"",IFERROR(B27*8/C27*(D27+E27),""))</f>
        <v/>
      </c>
      <c r="J27" s="230" t="inlineStr">
        <is>
          <t>自行填写测试条件与数据来源</t>
        </is>
      </c>
      <c r="K27" s="258">
        <f>IF(OR(NOT(ISNUMBER(B27)),B27&lt;=0,COUNT(C27:G27)&lt;5,C27&lt;=0),"",IFERROR(B27*8/C27*D27,""))</f>
        <v/>
      </c>
    </row>
    <row r="28" ht="30" customHeight="1" s="226">
      <c r="A28" s="230" t="inlineStr">
        <is>
          <t>模型 B（自行命名）</t>
        </is>
      </c>
      <c r="B28" s="254" t="n"/>
      <c r="C28" s="254" t="n"/>
      <c r="D28" s="257" t="n"/>
      <c r="E28" s="257" t="n"/>
      <c r="F28" s="257" t="n"/>
      <c r="G28" s="257" t="n"/>
      <c r="H28" s="258">
        <f>IF(OR(NOT(ISNUMBER(B28)),B28&lt;=0,COUNT(C28:G28)&lt;5,C28&lt;=0),"",IFERROR(B28*8/C28*(D28*F28+E28*G28),""))</f>
        <v/>
      </c>
      <c r="I28" s="258">
        <f>IF(OR(NOT(ISNUMBER(B28)),B28&lt;=0,COUNT(C28:G28)&lt;5,C28&lt;=0),"",IFERROR(B28*8/C28*(D28+E28),""))</f>
        <v/>
      </c>
      <c r="J28" s="230" t="inlineStr">
        <is>
          <t>自行填写测试条件与数据来源</t>
        </is>
      </c>
      <c r="K28" s="258">
        <f>IF(OR(NOT(ISNUMBER(B28)),B28&lt;=0,COUNT(C28:G28)&lt;5,C28&lt;=0),"",IFERROR(B28*8/C28*D28,""))</f>
        <v/>
      </c>
    </row>
    <row r="29" ht="30" customHeight="1" s="226">
      <c r="A29" s="230" t="inlineStr">
        <is>
          <t>模型 C（自行命名）</t>
        </is>
      </c>
      <c r="B29" s="254" t="n"/>
      <c r="C29" s="254" t="n"/>
      <c r="D29" s="257" t="n"/>
      <c r="E29" s="257" t="n"/>
      <c r="F29" s="257" t="n"/>
      <c r="G29" s="257" t="n"/>
      <c r="H29" s="258">
        <f>IF(OR(NOT(ISNUMBER(B29)),B29&lt;=0,COUNT(C29:G29)&lt;5,C29&lt;=0),"",IFERROR(B29*8/C29*(D29*F29+E29*G29),""))</f>
        <v/>
      </c>
      <c r="I29" s="258">
        <f>IF(OR(NOT(ISNUMBER(B29)),B29&lt;=0,COUNT(C29:G29)&lt;5,C29&lt;=0),"",IFERROR(B29*8/C29*(D29+E29),""))</f>
        <v/>
      </c>
      <c r="J29" s="230" t="inlineStr">
        <is>
          <t>自行填写测试条件与数据来源</t>
        </is>
      </c>
      <c r="K29" s="258">
        <f>IF(OR(NOT(ISNUMBER(B29)),B29&lt;=0,COUNT(C29:G29)&lt;5,C29&lt;=0),"",IFERROR(B29*8/C29*D29,""))</f>
        <v/>
      </c>
    </row>
    <row r="30" ht="15" customHeight="1" s="226">
      <c r="A30" s="259" t="inlineStr">
        <is>
          <t>合计</t>
        </is>
      </c>
      <c r="B30" s="260">
        <f>IF(COUNT(B27:B29)=0,"",SUM(B27:B29))</f>
        <v/>
      </c>
      <c r="C30" s="230" t="n"/>
      <c r="D30" s="230" t="n"/>
      <c r="E30" s="230" t="n"/>
      <c r="F30" s="230" t="n"/>
      <c r="G30" s="230" t="n"/>
      <c r="H30" s="258">
        <f>IF($B$2&lt;&gt;"可计算","",SUM(H27:H29))</f>
        <v/>
      </c>
      <c r="I30" s="258">
        <f>IF($B$2&lt;&gt;"可计算","",SUM(I27:I29))</f>
        <v/>
      </c>
      <c r="J30" s="230" t="n"/>
      <c r="K30" s="258">
        <f>IF($B$2&lt;&gt;"可计算","",SUM(K27:K29))</f>
        <v/>
      </c>
    </row>
    <row r="31" ht="15" customHeight="1" s="226">
      <c r="A31" s="230" t="inlineStr">
        <is>
          <t>未分配服务器</t>
        </is>
      </c>
      <c r="B31" s="260">
        <f>IF(OR(B4="",B30=""),"",B4-B30)</f>
        <v/>
      </c>
      <c r="C31" s="230" t="n"/>
      <c r="D31" s="230" t="n"/>
      <c r="E31" s="230" t="n"/>
      <c r="F31" s="230" t="n"/>
      <c r="G31" s="230" t="n"/>
      <c r="H31" s="230" t="n"/>
      <c r="I31" s="230" t="n"/>
      <c r="J31" s="230" t="n"/>
      <c r="K31" s="230" t="n"/>
    </row>
    <row r="32" ht="44" customHeight="1" s="226">
      <c r="A32" s="233" t="inlineStr">
        <is>
          <t>提示：模型吞吐须以相同硬件、并发与上下文条件实测；服务器分配数不能超过已购数量。</t>
        </is>
      </c>
      <c r="B32" s="233" t="n"/>
      <c r="C32" s="233" t="n"/>
      <c r="D32" s="233" t="n"/>
      <c r="E32" s="233" t="n"/>
      <c r="F32" s="233" t="n"/>
      <c r="G32" s="233" t="n"/>
      <c r="H32" s="233" t="n"/>
      <c r="I32" s="233" t="n"/>
      <c r="J32" s="233" t="n"/>
      <c r="K32" s="233" t="n"/>
    </row>
  </sheetData>
  <mergeCells count="2">
    <mergeCell ref="A1:D1"/>
    <mergeCell ref="D2:K2"/>
  </mergeCells>
  <conditionalFormatting sqref="B2">
    <cfRule type="expression" priority="1" dxfId="0">
      <formula>$B$2="可计算"</formula>
    </cfRule>
  </conditionalFormatting>
  <dataValidations count="16">
    <dataValidation sqref="B4" showDropDown="0" showInputMessage="0" showErrorMessage="1" allowBlank="1" errorTitle="参数范围有误" error="服务器台数需为正整数" type="whole" errorStyle="stop" operator="between">
      <formula1>1</formula1>
      <formula2>100000</formula2>
    </dataValidation>
    <dataValidation sqref="B5" showDropDown="0" showInputMessage="0" showErrorMessage="1" allowBlank="1" errorTitle="参数范围有误" error="设备单价需大于 0" type="decimal" errorStyle="stop" operator="between">
      <formula1>0.000001</formula1>
      <formula2>100000000</formula2>
    </dataValidation>
    <dataValidation sqref="B6" showDropDown="0" showInputMessage="0" showErrorMessage="1" allowBlank="1" errorTitle="参数范围有误" error="配套系数需不小于 1" type="decimal" errorStyle="stop" operator="between">
      <formula1>1</formula1>
      <formula2>1000</formula2>
    </dataValidation>
    <dataValidation sqref="B7" showDropDown="0" showInputMessage="0" showErrorMessage="1" allowBlank="1" errorTitle="参数范围有误" error="IDC 成本不能为负" type="decimal" errorStyle="stop" operator="between">
      <formula1>0</formula1>
      <formula2>100000000</formula2>
    </dataValidation>
    <dataValidation sqref="B8:B9" showDropDown="0" showInputMessage="0" showErrorMessage="1" allowBlank="1" errorTitle="参数范围有误" error="请填写 0–100% 的比例（如 80%）" type="decimal" errorStyle="stop" operator="between">
      <formula1>0</formula1>
      <formula2>1</formula2>
    </dataValidation>
    <dataValidation sqref="B12:B16" showDropDown="0" showInputMessage="0" showErrorMessage="1" allowBlank="1" errorTitle="参数范围有误" error="请填写 0–100% 的比例（如 80%）" type="decimal" errorStyle="stop" operator="between">
      <formula1>0</formula1>
      <formula2>1</formula2>
    </dataValidation>
    <dataValidation sqref="B21:F21" showDropDown="0" showInputMessage="0" showErrorMessage="1" allowBlank="1" errorTitle="参数范围有误" error="请填写 0–100% 的比例（如 80%）" type="decimal" errorStyle="stop" operator="between">
      <formula1>0</formula1>
      <formula2>1</formula2>
    </dataValidation>
    <dataValidation sqref="B10" showDropDown="0" showInputMessage="0" showErrorMessage="1" allowBlank="1" errorTitle="参数范围有误" error="收费/售出率需大于 0 且不超过 100%" type="decimal" errorStyle="stop" operator="between">
      <formula1>0.000001</formula1>
      <formula2>1</formula2>
    </dataValidation>
    <dataValidation sqref="B11" showDropDown="0" showInputMessage="0" showErrorMessage="1" allowBlank="1" errorTitle="参数范围有误" error="价格系数需大于 0" type="decimal" errorStyle="stop" operator="between">
      <formula1>0.000001</formula1>
      <formula2>1000</formula2>
    </dataValidation>
    <dataValidation sqref="B17" showDropDown="0" showInputMessage="0" showErrorMessage="1" allowBlank="1" errorTitle="参数范围有误" error="起始年度为 1–5 年" type="whole" errorStyle="stop" operator="between">
      <formula1>1</formula1>
      <formula2>5</formula2>
    </dataValidation>
    <dataValidation sqref="B18" showDropDown="0" showInputMessage="0" showErrorMessage="1" allowBlank="1" errorTitle="参数范围有误" error="目标 IRR 本模板限制在 0%–100% 之间" type="decimal" errorStyle="stop" operator="between">
      <formula1>0</formula1>
      <formula2>0.9999</formula2>
    </dataValidation>
    <dataValidation sqref="B22:F23" showDropDown="0" showInputMessage="0" showErrorMessage="1" allowBlank="1" errorTitle="参数范围有误" error="运营费用不能为负" type="decimal" errorStyle="stop" operator="between">
      <formula1>0</formula1>
      <formula2>100000000</formula2>
    </dataValidation>
    <dataValidation sqref="B27:B29" showDropDown="0" showInputMessage="0" showErrorMessage="1" allowBlank="1" errorTitle="参数范围有误" error="服务器分配数必须为非负整数" type="whole" errorStyle="stop" operator="between">
      <formula1>0</formula1>
      <formula2>100000</formula2>
    </dataValidation>
    <dataValidation sqref="C27:C29" showDropDown="0" showInputMessage="0" showErrorMessage="0" allowBlank="1" type="list">
      <formula1>"1,2,4,8"</formula1>
    </dataValidation>
    <dataValidation sqref="D27:E29" showDropDown="0" showInputMessage="0" showErrorMessage="1" allowBlank="1" errorTitle="参数范围有误" error="吞吐或售价不得为负" type="decimal" errorStyle="stop" operator="between">
      <formula1>0</formula1>
      <formula2>100000000</formula2>
    </dataValidation>
    <dataValidation sqref="F27:G29" showDropDown="0" showInputMessage="0" showErrorMessage="1" allowBlank="1" errorTitle="参数范围有误" error="吞吐或售价不得为负" type="decimal" errorStyle="stop" operator="between">
      <formula1>0</formula1>
      <formula2>100000000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6"/>
  <sheetViews>
    <sheetView showGridLines="1" workbookViewId="0">
      <pane ySplit="2" topLeftCell="A3" activePane="bottomLeft" state="frozen"/>
      <selection activeCell="A1" sqref="A1"/>
    </sheetView>
  </sheetViews>
  <sheetFormatPr baseColWidth="8" defaultColWidth="8.6796875" defaultRowHeight="15"/>
  <cols>
    <col width="38" customWidth="1" style="226" min="1" max="1"/>
    <col width="13" customWidth="1" style="226" min="2" max="2"/>
    <col width="18" customWidth="1" style="226" min="3" max="3"/>
    <col width="18" customWidth="1" style="226" min="4" max="4"/>
    <col width="18" customWidth="1" style="226" min="5" max="5"/>
    <col width="18" customWidth="1" style="226" min="6" max="6"/>
    <col width="18" customWidth="1" style="226" min="7" max="7"/>
    <col width="18" customWidth="1" style="226" min="8" max="8"/>
    <col width="18" customWidth="1" style="226" min="9" max="9"/>
  </cols>
  <sheetData>
    <row r="1" ht="46" customHeight="1" s="226">
      <c r="A1" s="227" t="inlineStr">
        <is>
          <t>年度测算｜五年项目现金流（填写参数后自动计算）</t>
        </is>
      </c>
      <c r="B1" s="228" t="n"/>
      <c r="C1" s="228" t="n"/>
      <c r="D1" s="228" t="n"/>
      <c r="E1" s="228" t="n"/>
      <c r="F1" s="228" t="n"/>
      <c r="G1" s="228" t="n"/>
      <c r="H1" s="228" t="n"/>
      <c r="I1" s="228" t="n"/>
    </row>
    <row r="2" ht="27" customHeight="1" s="226">
      <c r="A2" s="237" t="inlineStr">
        <is>
          <t>项目</t>
        </is>
      </c>
      <c r="B2" s="237" t="inlineStr">
        <is>
          <t>单位</t>
        </is>
      </c>
      <c r="C2" s="237" t="inlineStr">
        <is>
          <t>T+0</t>
        </is>
      </c>
      <c r="D2" s="237" t="inlineStr">
        <is>
          <t>T+1</t>
        </is>
      </c>
      <c r="E2" s="237" t="inlineStr">
        <is>
          <t>T+2</t>
        </is>
      </c>
      <c r="F2" s="237" t="inlineStr">
        <is>
          <t>T+3</t>
        </is>
      </c>
      <c r="G2" s="237" t="inlineStr">
        <is>
          <t>T+4</t>
        </is>
      </c>
      <c r="H2" s="237" t="inlineStr">
        <is>
          <t>T+5</t>
        </is>
      </c>
      <c r="I2" s="237" t="inlineStr">
        <is>
          <t>合计</t>
        </is>
      </c>
    </row>
    <row r="3" ht="17.14999961853027" customHeight="1" s="226">
      <c r="A3" s="230" t="inlineStr">
        <is>
          <t>CAPEX合计</t>
        </is>
      </c>
      <c r="B3" s="230" t="inlineStr">
        <is>
          <t>万元</t>
        </is>
      </c>
      <c r="C3" s="246">
        <f>IF(参数!$B$2&lt;&gt;"可计算","",参数!B4*参数!B5*参数!B6)</f>
        <v/>
      </c>
      <c r="D3" s="246" t="n"/>
      <c r="E3" s="246" t="n"/>
      <c r="F3" s="246" t="n"/>
      <c r="G3" s="246" t="n"/>
      <c r="H3" s="246" t="n"/>
      <c r="I3" s="246">
        <f>IF(参数!$B$2&lt;&gt;"可计算","",C3)</f>
        <v/>
      </c>
    </row>
    <row r="4" ht="15" customHeight="1" s="226">
      <c r="A4" s="230" t="inlineStr">
        <is>
          <t>有效运转率</t>
        </is>
      </c>
      <c r="B4" s="230" t="inlineStr">
        <is>
          <t>%</t>
        </is>
      </c>
      <c r="C4" s="246" t="n"/>
      <c r="D4" s="243">
        <f>IF(参数!$B$2&lt;&gt;"可计算","",参数!B21)</f>
        <v/>
      </c>
      <c r="E4" s="243">
        <f>IF(参数!$B$2&lt;&gt;"可计算","",参数!C21)</f>
        <v/>
      </c>
      <c r="F4" s="243">
        <f>IF(参数!$B$2&lt;&gt;"可计算","",参数!D21)</f>
        <v/>
      </c>
      <c r="G4" s="243">
        <f>IF(参数!$B$2&lt;&gt;"可计算","",参数!E21)</f>
        <v/>
      </c>
      <c r="H4" s="243">
        <f>IF(参数!$B$2&lt;&gt;"可计算","",参数!F21)</f>
        <v/>
      </c>
      <c r="I4" s="246" t="n"/>
    </row>
    <row r="5" ht="15" customHeight="1" s="226">
      <c r="A5" s="230" t="inlineStr">
        <is>
          <t>含税收入</t>
        </is>
      </c>
      <c r="B5" s="230" t="inlineStr">
        <is>
          <t>万元</t>
        </is>
      </c>
      <c r="C5" s="246" t="n"/>
      <c r="D5" s="246">
        <f>IF(参数!$B$2&lt;&gt;"可计算","",参数!$H$30*D4*参数!$B$10*365*86400/1000000/10000*参数!$B$11)</f>
        <v/>
      </c>
      <c r="E5" s="246">
        <f>IF(参数!$B$2&lt;&gt;"可计算","",参数!$H$30*E4*参数!$B$10*365*86400/1000000/10000*参数!$B$11)</f>
        <v/>
      </c>
      <c r="F5" s="246">
        <f>IF(参数!$B$2&lt;&gt;"可计算","",参数!$H$30*F4*参数!$B$10*365*86400/1000000/10000*参数!$B$11)</f>
        <v/>
      </c>
      <c r="G5" s="246">
        <f>IF(参数!$B$2&lt;&gt;"可计算","",参数!$H$30*G4*参数!$B$10*365*86400/1000000/10000*参数!$B$11)</f>
        <v/>
      </c>
      <c r="H5" s="246">
        <f>IF(参数!$B$2&lt;&gt;"可计算","",参数!$H$30*H4*参数!$B$10*365*86400/1000000/10000*参数!$B$11)</f>
        <v/>
      </c>
      <c r="I5" s="246">
        <f>IF(参数!$B$2&lt;&gt;"可计算","",SUM(D5:H5))</f>
        <v/>
      </c>
    </row>
    <row r="6" ht="17.14999961853027" customHeight="1" s="226">
      <c r="A6" s="230" t="inlineStr">
        <is>
          <t>售出tokens</t>
        </is>
      </c>
      <c r="B6" s="230" t="inlineStr">
        <is>
          <t>百万tokens</t>
        </is>
      </c>
      <c r="C6" s="246" t="n"/>
      <c r="D6" s="261">
        <f>IF(参数!$B$2&lt;&gt;"可计算","",参数!$I$30*D4*参数!$B$10*365*86400/1000000)</f>
        <v/>
      </c>
      <c r="E6" s="261">
        <f>IF(参数!$B$2&lt;&gt;"可计算","",参数!$I$30*E4*参数!$B$10*365*86400/1000000)</f>
        <v/>
      </c>
      <c r="F6" s="261">
        <f>IF(参数!$B$2&lt;&gt;"可计算","",参数!$I$30*F4*参数!$B$10*365*86400/1000000)</f>
        <v/>
      </c>
      <c r="G6" s="261">
        <f>IF(参数!$B$2&lt;&gt;"可计算","",参数!$I$30*G4*参数!$B$10*365*86400/1000000)</f>
        <v/>
      </c>
      <c r="H6" s="261">
        <f>IF(参数!$B$2&lt;&gt;"可计算","",参数!$I$30*H4*参数!$B$10*365*86400/1000000)</f>
        <v/>
      </c>
      <c r="I6" s="261">
        <f>IF(参数!$B$2&lt;&gt;"可计算","",SUM(D6:H6))</f>
        <v/>
      </c>
    </row>
    <row r="7" ht="15" customHeight="1" s="226">
      <c r="A7" s="230" t="inlineStr">
        <is>
          <t>销项税</t>
        </is>
      </c>
      <c r="B7" s="230" t="inlineStr">
        <is>
          <t>万元</t>
        </is>
      </c>
      <c r="C7" s="246" t="n"/>
      <c r="D7" s="246">
        <f>IF(参数!$B$2&lt;&gt;"可计算","",D5*参数!$B$15/(1+参数!$B$15))</f>
        <v/>
      </c>
      <c r="E7" s="246">
        <f>IF(参数!$B$2&lt;&gt;"可计算","",E5*参数!$B$15/(1+参数!$B$15))</f>
        <v/>
      </c>
      <c r="F7" s="246">
        <f>IF(参数!$B$2&lt;&gt;"可计算","",F5*参数!$B$15/(1+参数!$B$15))</f>
        <v/>
      </c>
      <c r="G7" s="246">
        <f>IF(参数!$B$2&lt;&gt;"可计算","",G5*参数!$B$15/(1+参数!$B$15))</f>
        <v/>
      </c>
      <c r="H7" s="246">
        <f>IF(参数!$B$2&lt;&gt;"可计算","",H5*参数!$B$15/(1+参数!$B$15))</f>
        <v/>
      </c>
      <c r="I7" s="246">
        <f>IF(参数!$B$2&lt;&gt;"可计算","",SUM(D7:H7))</f>
        <v/>
      </c>
    </row>
    <row r="8" ht="15" customHeight="1" s="226">
      <c r="A8" s="230" t="inlineStr">
        <is>
          <t>不含税收入</t>
        </is>
      </c>
      <c r="B8" s="230" t="inlineStr">
        <is>
          <t>万元</t>
        </is>
      </c>
      <c r="C8" s="246" t="n"/>
      <c r="D8" s="246">
        <f>IF(参数!$B$2&lt;&gt;"可计算","",D5-D7)</f>
        <v/>
      </c>
      <c r="E8" s="246">
        <f>IF(参数!$B$2&lt;&gt;"可计算","",E5-E7)</f>
        <v/>
      </c>
      <c r="F8" s="246">
        <f>IF(参数!$B$2&lt;&gt;"可计算","",F5-F7)</f>
        <v/>
      </c>
      <c r="G8" s="246">
        <f>IF(参数!$B$2&lt;&gt;"可计算","",G5-G7)</f>
        <v/>
      </c>
      <c r="H8" s="246">
        <f>IF(参数!$B$2&lt;&gt;"可计算","",H5-H7)</f>
        <v/>
      </c>
      <c r="I8" s="246">
        <f>IF(参数!$B$2&lt;&gt;"可计算","",SUM(D8:H8))</f>
        <v/>
      </c>
    </row>
    <row r="9" ht="17.14999961853027" customHeight="1" s="226">
      <c r="A9" s="230" t="inlineStr">
        <is>
          <t>IDC机柜+电</t>
        </is>
      </c>
      <c r="B9" s="230" t="inlineStr">
        <is>
          <t>万元</t>
        </is>
      </c>
      <c r="C9" s="246" t="n"/>
      <c r="D9" s="246">
        <f>IF(参数!$B$2&lt;&gt;"可计算","",参数!$B$4*参数!$B$7*12)</f>
        <v/>
      </c>
      <c r="E9" s="246">
        <f>IF(参数!$B$2&lt;&gt;"可计算","",参数!$B$4*参数!$B$7*12)</f>
        <v/>
      </c>
      <c r="F9" s="246">
        <f>IF(参数!$B$2&lt;&gt;"可计算","",参数!$B$4*参数!$B$7*12)</f>
        <v/>
      </c>
      <c r="G9" s="246">
        <f>IF(参数!$B$2&lt;&gt;"可计算","",参数!$B$4*参数!$B$7*12)</f>
        <v/>
      </c>
      <c r="H9" s="246">
        <f>IF(参数!$B$2&lt;&gt;"可计算","",参数!$B$4*参数!$B$7*12)</f>
        <v/>
      </c>
      <c r="I9" s="246">
        <f>IF(参数!$B$2&lt;&gt;"可计算","",SUM(D9:H9))</f>
        <v/>
      </c>
    </row>
    <row r="10" ht="15" customHeight="1" s="226">
      <c r="A10" s="230" t="inlineStr">
        <is>
          <t>人力</t>
        </is>
      </c>
      <c r="B10" s="230" t="inlineStr">
        <is>
          <t>万元</t>
        </is>
      </c>
      <c r="C10" s="246" t="n"/>
      <c r="D10" s="246">
        <f>IF(参数!$B$2&lt;&gt;"可计算","",D5*参数!$B$8)</f>
        <v/>
      </c>
      <c r="E10" s="246">
        <f>IF(参数!$B$2&lt;&gt;"可计算","",E5*参数!$B$8)</f>
        <v/>
      </c>
      <c r="F10" s="246">
        <f>IF(参数!$B$2&lt;&gt;"可计算","",F5*参数!$B$8)</f>
        <v/>
      </c>
      <c r="G10" s="246">
        <f>IF(参数!$B$2&lt;&gt;"可计算","",G5*参数!$B$8)</f>
        <v/>
      </c>
      <c r="H10" s="246">
        <f>IF(参数!$B$2&lt;&gt;"可计算","",H5*参数!$B$8)</f>
        <v/>
      </c>
      <c r="I10" s="246">
        <f>IF(参数!$B$2&lt;&gt;"可计算","",SUM(D10:H10))</f>
        <v/>
      </c>
    </row>
    <row r="11" ht="17.14999961853027" customHeight="1" s="226">
      <c r="A11" s="230" t="inlineStr">
        <is>
          <t>平台/渠道/支付</t>
        </is>
      </c>
      <c r="B11" s="230" t="inlineStr">
        <is>
          <t>万元</t>
        </is>
      </c>
      <c r="C11" s="246" t="n"/>
      <c r="D11" s="246">
        <f>IF(参数!$B$2&lt;&gt;"可计算","",D5*参数!$B$9)</f>
        <v/>
      </c>
      <c r="E11" s="246">
        <f>IF(参数!$B$2&lt;&gt;"可计算","",E5*参数!$B$9)</f>
        <v/>
      </c>
      <c r="F11" s="246">
        <f>IF(参数!$B$2&lt;&gt;"可计算","",F5*参数!$B$9)</f>
        <v/>
      </c>
      <c r="G11" s="246">
        <f>IF(参数!$B$2&lt;&gt;"可计算","",G5*参数!$B$9)</f>
        <v/>
      </c>
      <c r="H11" s="246">
        <f>IF(参数!$B$2&lt;&gt;"可计算","",H5*参数!$B$9)</f>
        <v/>
      </c>
      <c r="I11" s="246">
        <f>IF(参数!$B$2&lt;&gt;"可计算","",SUM(D11:H11))</f>
        <v/>
      </c>
    </row>
    <row r="12" ht="15" customHeight="1" s="226">
      <c r="A12" s="230" t="inlineStr">
        <is>
          <t>固定运营</t>
        </is>
      </c>
      <c r="B12" s="230" t="inlineStr">
        <is>
          <t>万元</t>
        </is>
      </c>
      <c r="C12" s="246" t="n"/>
      <c r="D12" s="246">
        <f>IF(参数!$B$2&lt;&gt;"可计算","",参数!B22)</f>
        <v/>
      </c>
      <c r="E12" s="246">
        <f>IF(参数!$B$2&lt;&gt;"可计算","",参数!C22)</f>
        <v/>
      </c>
      <c r="F12" s="246">
        <f>IF(参数!$B$2&lt;&gt;"可计算","",参数!D22)</f>
        <v/>
      </c>
      <c r="G12" s="246">
        <f>IF(参数!$B$2&lt;&gt;"可计算","",参数!E22)</f>
        <v/>
      </c>
      <c r="H12" s="246">
        <f>IF(参数!$B$2&lt;&gt;"可计算","",参数!F22)</f>
        <v/>
      </c>
      <c r="I12" s="246">
        <f>IF(参数!$B$2&lt;&gt;"可计算","",SUM(D12:H12))</f>
        <v/>
      </c>
    </row>
    <row r="13" ht="17.14999961853027" customHeight="1" s="226">
      <c r="A13" s="230" t="inlineStr">
        <is>
          <t>软件开发/外包</t>
        </is>
      </c>
      <c r="B13" s="230" t="inlineStr">
        <is>
          <t>万元</t>
        </is>
      </c>
      <c r="C13" s="246" t="n"/>
      <c r="D13" s="246">
        <f>IF(参数!$B$2&lt;&gt;"可计算","",参数!B23)</f>
        <v/>
      </c>
      <c r="E13" s="246">
        <f>IF(参数!$B$2&lt;&gt;"可计算","",参数!C23)</f>
        <v/>
      </c>
      <c r="F13" s="246">
        <f>IF(参数!$B$2&lt;&gt;"可计算","",参数!D23)</f>
        <v/>
      </c>
      <c r="G13" s="246">
        <f>IF(参数!$B$2&lt;&gt;"可计算","",参数!E23)</f>
        <v/>
      </c>
      <c r="H13" s="246">
        <f>IF(参数!$B$2&lt;&gt;"可计算","",参数!F23)</f>
        <v/>
      </c>
      <c r="I13" s="246">
        <f>IF(参数!$B$2&lt;&gt;"可计算","",SUM(D13:H13))</f>
        <v/>
      </c>
    </row>
    <row r="14" ht="15" customHeight="1" s="226">
      <c r="A14" s="230" t="inlineStr">
        <is>
          <t>维保</t>
        </is>
      </c>
      <c r="B14" s="230" t="inlineStr">
        <is>
          <t>万元</t>
        </is>
      </c>
      <c r="C14" s="246" t="n"/>
      <c r="D14" s="246">
        <f>IF(参数!$B$2&lt;&gt;"可计算","",IF(1&gt;=参数!$B$17,$C$3*参数!$B$13,0))</f>
        <v/>
      </c>
      <c r="E14" s="246">
        <f>IF(参数!$B$2&lt;&gt;"可计算","",IF(2&gt;=参数!$B$17,$C$3*参数!$B$13,0))</f>
        <v/>
      </c>
      <c r="F14" s="246">
        <f>IF(参数!$B$2&lt;&gt;"可计算","",IF(3&gt;=参数!$B$17,$C$3*参数!$B$13,0))</f>
        <v/>
      </c>
      <c r="G14" s="246">
        <f>IF(参数!$B$2&lt;&gt;"可计算","",IF(4&gt;=参数!$B$17,$C$3*参数!$B$13,0))</f>
        <v/>
      </c>
      <c r="H14" s="246">
        <f>IF(参数!$B$2&lt;&gt;"可计算","",IF(5&gt;=参数!$B$17,$C$3*参数!$B$13,0))</f>
        <v/>
      </c>
      <c r="I14" s="246">
        <f>IF(参数!$B$2&lt;&gt;"可计算","",SUM(D14:H14))</f>
        <v/>
      </c>
    </row>
    <row r="15" ht="17.14999961853027" customHeight="1" s="226">
      <c r="A15" s="230" t="inlineStr">
        <is>
          <t>现金OPEX小计</t>
        </is>
      </c>
      <c r="B15" s="230" t="inlineStr">
        <is>
          <t>万元</t>
        </is>
      </c>
      <c r="C15" s="246" t="n"/>
      <c r="D15" s="246">
        <f>IF(参数!$B$2&lt;&gt;"可计算","",SUM(D9:D14))</f>
        <v/>
      </c>
      <c r="E15" s="246">
        <f>IF(参数!$B$2&lt;&gt;"可计算","",SUM(E9:E14))</f>
        <v/>
      </c>
      <c r="F15" s="246">
        <f>IF(参数!$B$2&lt;&gt;"可计算","",SUM(F9:F14))</f>
        <v/>
      </c>
      <c r="G15" s="246">
        <f>IF(参数!$B$2&lt;&gt;"可计算","",SUM(G9:G14))</f>
        <v/>
      </c>
      <c r="H15" s="246">
        <f>IF(参数!$B$2&lt;&gt;"可计算","",SUM(H9:H14))</f>
        <v/>
      </c>
      <c r="I15" s="246">
        <f>IF(参数!$B$2&lt;&gt;"可计算","",SUM(D15:H15))</f>
        <v/>
      </c>
    </row>
    <row r="16" ht="15" customHeight="1" s="226">
      <c r="A16" s="230" t="inlineStr">
        <is>
          <t>折旧（扣可抵扣设备进项税后）</t>
        </is>
      </c>
      <c r="B16" s="230" t="inlineStr">
        <is>
          <t>万元</t>
        </is>
      </c>
      <c r="C16" s="246" t="n"/>
      <c r="D16" s="246">
        <f>IF(参数!$B$2&lt;&gt;"可计算","",($C$3-$C$3*参数!$B$16/(1+参数!$B$16))*(1-参数!$B$14)/5)</f>
        <v/>
      </c>
      <c r="E16" s="246">
        <f>IF(参数!$B$2&lt;&gt;"可计算","",($C$3-$C$3*参数!$B$16/(1+参数!$B$16))*(1-参数!$B$14)/5)</f>
        <v/>
      </c>
      <c r="F16" s="246">
        <f>IF(参数!$B$2&lt;&gt;"可计算","",($C$3-$C$3*参数!$B$16/(1+参数!$B$16))*(1-参数!$B$14)/5)</f>
        <v/>
      </c>
      <c r="G16" s="246">
        <f>IF(参数!$B$2&lt;&gt;"可计算","",($C$3-$C$3*参数!$B$16/(1+参数!$B$16))*(1-参数!$B$14)/5)</f>
        <v/>
      </c>
      <c r="H16" s="246">
        <f>IF(参数!$B$2&lt;&gt;"可计算","",($C$3-$C$3*参数!$B$16/(1+参数!$B$16))*(1-参数!$B$14)/5)</f>
        <v/>
      </c>
      <c r="I16" s="246">
        <f>IF(参数!$B$2&lt;&gt;"可计算","",SUM(D16:H16))</f>
        <v/>
      </c>
    </row>
    <row r="17" ht="15" customHeight="1" s="226">
      <c r="A17" s="230" t="inlineStr">
        <is>
          <t>期初可抵扣设备进项税余额</t>
        </is>
      </c>
      <c r="B17" s="230" t="inlineStr">
        <is>
          <t>万元</t>
        </is>
      </c>
      <c r="C17" s="246" t="n"/>
      <c r="D17" s="246">
        <f>IF(参数!$B$2&lt;&gt;"可计算","",C3*参数!B16/(1+参数!B16))</f>
        <v/>
      </c>
      <c r="E17" s="246">
        <f>IF(参数!$B$2&lt;&gt;"可计算","",D19)</f>
        <v/>
      </c>
      <c r="F17" s="246">
        <f>IF(参数!$B$2&lt;&gt;"可计算","",E19)</f>
        <v/>
      </c>
      <c r="G17" s="246">
        <f>IF(参数!$B$2&lt;&gt;"可计算","",F19)</f>
        <v/>
      </c>
      <c r="H17" s="246">
        <f>IF(参数!$B$2&lt;&gt;"可计算","",G19)</f>
        <v/>
      </c>
      <c r="I17" s="246" t="n"/>
    </row>
    <row r="18" ht="15" customHeight="1" s="226">
      <c r="A18" s="230" t="inlineStr">
        <is>
          <t>本年实际缴纳增值税</t>
        </is>
      </c>
      <c r="B18" s="230" t="inlineStr">
        <is>
          <t>万元</t>
        </is>
      </c>
      <c r="C18" s="246" t="n"/>
      <c r="D18" s="246">
        <f>IF(参数!$B$2&lt;&gt;"可计算","",MAX(D7-D17,0))</f>
        <v/>
      </c>
      <c r="E18" s="246">
        <f>IF(参数!$B$2&lt;&gt;"可计算","",MAX(E7-E17,0))</f>
        <v/>
      </c>
      <c r="F18" s="246">
        <f>IF(参数!$B$2&lt;&gt;"可计算","",MAX(F7-F17,0))</f>
        <v/>
      </c>
      <c r="G18" s="246">
        <f>IF(参数!$B$2&lt;&gt;"可计算","",MAX(G7-G17,0))</f>
        <v/>
      </c>
      <c r="H18" s="246">
        <f>IF(参数!$B$2&lt;&gt;"可计算","",MAX(H7-H17,0))</f>
        <v/>
      </c>
      <c r="I18" s="246">
        <f>IF(参数!$B$2&lt;&gt;"可计算","",SUM(D18:H18))</f>
        <v/>
      </c>
    </row>
    <row r="19" ht="15" customHeight="1" s="226">
      <c r="A19" s="230" t="inlineStr">
        <is>
          <t>期末未抵扣设备进项税余额</t>
        </is>
      </c>
      <c r="B19" s="230" t="inlineStr">
        <is>
          <t>万元</t>
        </is>
      </c>
      <c r="C19" s="246" t="n"/>
      <c r="D19" s="246">
        <f>IF(参数!$B$2&lt;&gt;"可计算","",MAX(D17-D7,0))</f>
        <v/>
      </c>
      <c r="E19" s="246">
        <f>IF(参数!$B$2&lt;&gt;"可计算","",MAX(E17-E7,0))</f>
        <v/>
      </c>
      <c r="F19" s="246">
        <f>IF(参数!$B$2&lt;&gt;"可计算","",MAX(F17-F7,0))</f>
        <v/>
      </c>
      <c r="G19" s="246">
        <f>IF(参数!$B$2&lt;&gt;"可计算","",MAX(G17-G7,0))</f>
        <v/>
      </c>
      <c r="H19" s="246">
        <f>IF(参数!$B$2&lt;&gt;"可计算","",MAX(H17-H7,0))</f>
        <v/>
      </c>
      <c r="I19" s="246" t="n"/>
    </row>
    <row r="20" ht="15" customHeight="1" s="226">
      <c r="A20" s="230" t="inlineStr">
        <is>
          <t>EBITDA</t>
        </is>
      </c>
      <c r="B20" s="230" t="inlineStr">
        <is>
          <t>万元</t>
        </is>
      </c>
      <c r="C20" s="246" t="n"/>
      <c r="D20" s="246">
        <f>IF(参数!$B$2&lt;&gt;"可计算","",D8-D15)</f>
        <v/>
      </c>
      <c r="E20" s="246">
        <f>IF(参数!$B$2&lt;&gt;"可计算","",E8-E15)</f>
        <v/>
      </c>
      <c r="F20" s="246">
        <f>IF(参数!$B$2&lt;&gt;"可计算","",F8-F15)</f>
        <v/>
      </c>
      <c r="G20" s="246">
        <f>IF(参数!$B$2&lt;&gt;"可计算","",G8-G15)</f>
        <v/>
      </c>
      <c r="H20" s="246">
        <f>IF(参数!$B$2&lt;&gt;"可计算","",H8-H15)</f>
        <v/>
      </c>
      <c r="I20" s="246">
        <f>IF(参数!$B$2&lt;&gt;"可计算","",SUM(D20:H20))</f>
        <v/>
      </c>
    </row>
    <row r="21" ht="15" customHeight="1" s="226">
      <c r="A21" s="230" t="inlineStr">
        <is>
          <t>EBIT</t>
        </is>
      </c>
      <c r="B21" s="230" t="inlineStr">
        <is>
          <t>万元</t>
        </is>
      </c>
      <c r="C21" s="246" t="n"/>
      <c r="D21" s="246">
        <f>IF(参数!$B$2&lt;&gt;"可计算","",D20-D16)</f>
        <v/>
      </c>
      <c r="E21" s="246">
        <f>IF(参数!$B$2&lt;&gt;"可计算","",E20-E16)</f>
        <v/>
      </c>
      <c r="F21" s="246">
        <f>IF(参数!$B$2&lt;&gt;"可计算","",F20-F16)</f>
        <v/>
      </c>
      <c r="G21" s="246">
        <f>IF(参数!$B$2&lt;&gt;"可计算","",G20-G16)</f>
        <v/>
      </c>
      <c r="H21" s="246">
        <f>IF(参数!$B$2&lt;&gt;"可计算","",H20-H16)</f>
        <v/>
      </c>
      <c r="I21" s="246">
        <f>IF(参数!$B$2&lt;&gt;"可计算","",SUM(D21:H21))</f>
        <v/>
      </c>
    </row>
    <row r="22" ht="15" customHeight="1" s="226">
      <c r="A22" s="230" t="inlineStr">
        <is>
          <t>所得税</t>
        </is>
      </c>
      <c r="B22" s="230" t="inlineStr">
        <is>
          <t>万元</t>
        </is>
      </c>
      <c r="C22" s="246" t="n"/>
      <c r="D22" s="246">
        <f>IF(参数!$B$2&lt;&gt;"可计算","",IF(D21&gt;0,D21*参数!$B$12,0))</f>
        <v/>
      </c>
      <c r="E22" s="246">
        <f>IF(参数!$B$2&lt;&gt;"可计算","",IF(E21&gt;0,E21*参数!$B$12,0))</f>
        <v/>
      </c>
      <c r="F22" s="246">
        <f>IF(参数!$B$2&lt;&gt;"可计算","",IF(F21&gt;0,F21*参数!$B$12,0))</f>
        <v/>
      </c>
      <c r="G22" s="246">
        <f>IF(参数!$B$2&lt;&gt;"可计算","",IF(G21&gt;0,G21*参数!$B$12,0))</f>
        <v/>
      </c>
      <c r="H22" s="246">
        <f>IF(参数!$B$2&lt;&gt;"可计算","",IF(H21&gt;0,H21*参数!$B$12,0))</f>
        <v/>
      </c>
      <c r="I22" s="246">
        <f>IF(参数!$B$2&lt;&gt;"可计算","",SUM(D22:H22))</f>
        <v/>
      </c>
    </row>
    <row r="23" ht="15" customHeight="1" s="226">
      <c r="A23" s="230" t="inlineStr">
        <is>
          <t>净利润</t>
        </is>
      </c>
      <c r="B23" s="230" t="inlineStr">
        <is>
          <t>万元</t>
        </is>
      </c>
      <c r="C23" s="246" t="n"/>
      <c r="D23" s="246">
        <f>IF(参数!$B$2&lt;&gt;"可计算","",D21-D22)</f>
        <v/>
      </c>
      <c r="E23" s="246">
        <f>IF(参数!$B$2&lt;&gt;"可计算","",E21-E22)</f>
        <v/>
      </c>
      <c r="F23" s="246">
        <f>IF(参数!$B$2&lt;&gt;"可计算","",F21-F22)</f>
        <v/>
      </c>
      <c r="G23" s="246">
        <f>IF(参数!$B$2&lt;&gt;"可计算","",G21-G22)</f>
        <v/>
      </c>
      <c r="H23" s="246">
        <f>IF(参数!$B$2&lt;&gt;"可计算","",H21-H22)</f>
        <v/>
      </c>
      <c r="I23" s="246">
        <f>IF(参数!$B$2&lt;&gt;"可计算","",SUM(D23:H23))</f>
        <v/>
      </c>
    </row>
    <row r="24" ht="15" customHeight="1" s="226">
      <c r="A24" s="230" t="inlineStr">
        <is>
          <t>期末残值（净设备投资口径）</t>
        </is>
      </c>
      <c r="B24" s="230" t="inlineStr">
        <is>
          <t>万元</t>
        </is>
      </c>
      <c r="C24" s="246" t="n"/>
      <c r="D24" s="246">
        <f>IF(参数!$B$2&lt;&gt;"可计算","",0)</f>
        <v/>
      </c>
      <c r="E24" s="246">
        <f>IF(参数!$B$2&lt;&gt;"可计算","",0)</f>
        <v/>
      </c>
      <c r="F24" s="246">
        <f>IF(参数!$B$2&lt;&gt;"可计算","",0)</f>
        <v/>
      </c>
      <c r="G24" s="246">
        <f>IF(参数!$B$2&lt;&gt;"可计算","",0)</f>
        <v/>
      </c>
      <c r="H24" s="246">
        <f>IF(参数!$B$2&lt;&gt;"可计算","",($C$3-$C$3*参数!$B$16/(1+参数!$B$16))*参数!$B$14)</f>
        <v/>
      </c>
      <c r="I24" s="246">
        <f>IF(参数!$B$2&lt;&gt;"可计算","",SUM(D24:H24))</f>
        <v/>
      </c>
    </row>
    <row r="25" ht="15" customHeight="1" s="226">
      <c r="A25" s="262" t="inlineStr">
        <is>
          <t>税后现金流（含增值税现金流）</t>
        </is>
      </c>
      <c r="B25" s="262" t="inlineStr">
        <is>
          <t>万元</t>
        </is>
      </c>
      <c r="C25" s="263">
        <f>IF(参数!$B$2&lt;&gt;"可计算","",-C3)</f>
        <v/>
      </c>
      <c r="D25" s="263">
        <f>IF(参数!$B$2&lt;&gt;"可计算","",D23+D16+D7-D18+D24)</f>
        <v/>
      </c>
      <c r="E25" s="263">
        <f>IF(参数!$B$2&lt;&gt;"可计算","",E23+E16+E7-E18+E24)</f>
        <v/>
      </c>
      <c r="F25" s="263">
        <f>IF(参数!$B$2&lt;&gt;"可计算","",F23+F16+F7-F18+F24)</f>
        <v/>
      </c>
      <c r="G25" s="263">
        <f>IF(参数!$B$2&lt;&gt;"可计算","",G23+G16+G7-G18+G24)</f>
        <v/>
      </c>
      <c r="H25" s="263">
        <f>IF(参数!$B$2&lt;&gt;"可计算","",H23+H16+H7-H18+H24)</f>
        <v/>
      </c>
      <c r="I25" s="263">
        <f>IF(参数!$B$2&lt;&gt;"可计算","",SUM(D25:H25))</f>
        <v/>
      </c>
    </row>
    <row r="26" ht="15" customHeight="1" s="226">
      <c r="A26" s="264" t="inlineStr">
        <is>
          <t>累计净现金流</t>
        </is>
      </c>
      <c r="B26" s="264" t="inlineStr">
        <is>
          <t>万元</t>
        </is>
      </c>
      <c r="C26" s="265">
        <f>IF(参数!$B$2&lt;&gt;"可计算","",C25)</f>
        <v/>
      </c>
      <c r="D26" s="265">
        <f>IF(参数!$B$2&lt;&gt;"可计算","",C26+D25)</f>
        <v/>
      </c>
      <c r="E26" s="265">
        <f>IF(参数!$B$2&lt;&gt;"可计算","",D26+E25)</f>
        <v/>
      </c>
      <c r="F26" s="265">
        <f>IF(参数!$B$2&lt;&gt;"可计算","",E26+F25)</f>
        <v/>
      </c>
      <c r="G26" s="265">
        <f>IF(参数!$B$2&lt;&gt;"可计算","",F26+G25)</f>
        <v/>
      </c>
      <c r="H26" s="265">
        <f>IF(参数!$B$2&lt;&gt;"可计算","",G26+H25)</f>
        <v/>
      </c>
      <c r="I26" s="265">
        <f>IF(参数!$B$2&lt;&gt;"可计算","",H26)</f>
        <v/>
      </c>
    </row>
  </sheetData>
  <mergeCells count="1">
    <mergeCell ref="A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4"/>
  <sheetViews>
    <sheetView showGridLines="1" workbookViewId="0">
      <pane ySplit="1" topLeftCell="A2" activePane="bottomLeft" state="frozen"/>
      <selection activeCell="A1" sqref="A1"/>
    </sheetView>
  </sheetViews>
  <sheetFormatPr baseColWidth="8" defaultColWidth="8.6796875" defaultRowHeight="15"/>
  <cols>
    <col width="21" customWidth="1" style="226" min="1" max="1"/>
    <col width="16" customWidth="1" style="226" min="2" max="2"/>
    <col width="16" customWidth="1" style="226" min="3" max="3"/>
    <col width="16" customWidth="1" style="226" min="4" max="4"/>
    <col width="16" customWidth="1" style="226" min="5" max="5"/>
    <col width="16" customWidth="1" style="226" min="6" max="6"/>
    <col width="16" customWidth="1" style="226" min="7" max="7"/>
  </cols>
  <sheetData>
    <row r="1" ht="46" customHeight="1" s="226">
      <c r="A1" s="227" t="inlineStr">
        <is>
          <t>使用说明｜GPU 算力经济性测算工具</t>
        </is>
      </c>
      <c r="B1" s="228" t="n"/>
      <c r="C1" s="228" t="n"/>
      <c r="D1" s="228" t="n"/>
      <c r="E1" s="228" t="n"/>
      <c r="F1" s="228" t="n"/>
      <c r="G1" s="228" t="n"/>
    </row>
    <row r="3" ht="44" customHeight="1" s="226">
      <c r="A3" s="266" t="inlineStr">
        <is>
          <t>01｜用途与边界　比较「购买 GPU 服务器并租用 IDC 机柜」「按时租用 GPU」「调用商业 API」三种方式的五年经济性。不是自建机房模型，不涵盖土地、能耗指标及机房建设。</t>
        </is>
      </c>
      <c r="B3" s="228" t="n"/>
      <c r="C3" s="228" t="n"/>
      <c r="D3" s="228" t="n"/>
      <c r="E3" s="228" t="n"/>
      <c r="F3" s="228" t="n"/>
      <c r="G3" s="228" t="n"/>
    </row>
    <row r="4" ht="44" customHeight="1" s="226">
      <c r="A4" s="267" t="inlineStr">
        <is>
          <t>02｜如何填写　先在「参数」的黄色输入格填基础参数 B4:B18、五年运营情景 B21:F23，再填写启用的模型 B27:G29；如只用 1–2 个模型，其余行可留空。参数 B2 显示「可计算」后查看结果。</t>
        </is>
      </c>
      <c r="B4" s="228" t="n"/>
      <c r="C4" s="228" t="n"/>
      <c r="D4" s="228" t="n"/>
      <c r="E4" s="228" t="n"/>
      <c r="F4" s="228" t="n"/>
      <c r="G4" s="228" t="n"/>
    </row>
    <row r="5" ht="44" customHeight="1" s="226">
      <c r="A5" s="266" t="inlineStr">
        <is>
          <t>03｜参数保密　公开版不提供设备报价、GPU 租价、模型吞吐、模型配比、售价、各年运转率、成本预算或内部收益门槛。请使用自己的最新报价和可核实数据。</t>
        </is>
      </c>
      <c r="B5" s="228" t="n"/>
      <c r="C5" s="228" t="n"/>
      <c r="D5" s="228" t="n"/>
      <c r="E5" s="228" t="n"/>
      <c r="F5" s="228" t="n"/>
      <c r="G5" s="228" t="n"/>
    </row>
    <row r="6" ht="56" customHeight="1" s="226">
      <c r="A6" s="267" t="inlineStr">
        <is>
          <t>04｜算力与收入　单台服务器默认按 8 张 GPU 估算；模型每实例 GPU 数应能整除 8。收入按实测输入/输出 TPS、模型售价、运行率及收费/售出率计算；不同上下文长度、并发、框架或 SLA 会显著改变结果。</t>
        </is>
      </c>
      <c r="B6" s="228" t="n"/>
      <c r="C6" s="228" t="n"/>
      <c r="D6" s="228" t="n"/>
      <c r="E6" s="228" t="n"/>
      <c r="F6" s="228" t="n"/>
      <c r="G6" s="228" t="n"/>
    </row>
    <row r="7" ht="44" customHeight="1" s="226">
      <c r="A7" s="266" t="inlineStr">
        <is>
          <t>05｜投资与折旧　CAPEX 输入按含税现金支出口径；设备进项税按用户填入的税率及可抵扣范围简化，净 CAPEX 作为折旧及期末残值的基础。配套设施税率可能不同，实际应拆分资产类别、折旧年限及税收政策。</t>
        </is>
      </c>
      <c r="B7" s="228" t="n"/>
      <c r="C7" s="228" t="n"/>
      <c r="D7" s="228" t="n"/>
      <c r="E7" s="228" t="n"/>
      <c r="F7" s="228" t="n"/>
      <c r="G7" s="228" t="n"/>
    </row>
    <row r="8" ht="56" customHeight="1" s="226">
      <c r="A8" s="267" t="inlineStr">
        <is>
          <t>06｜现金流与增值税　经营利润按不含税收入与所填现金 OPEX 计算；项目现金流加入收取的销项税，再扣实际缴纳的增值税，期初 CAPEX 为含税支出。设备进项税仅按逐年抵扣销项税处理，未用完的抵扣余额不假设直接退现；未完整计入运营费用进项税。</t>
        </is>
      </c>
      <c r="B8" s="228" t="n"/>
      <c r="C8" s="228" t="n"/>
      <c r="D8" s="228" t="n"/>
      <c r="E8" s="228" t="n"/>
      <c r="F8" s="228" t="n"/>
      <c r="G8" s="228" t="n"/>
    </row>
    <row r="9" ht="44" customHeight="1" s="226">
      <c r="A9" s="266" t="inlineStr">
        <is>
          <t>07｜税务与融资限制　所得税简化为正 EBIT 乘税率，未处理亏损结转、税费优惠、设备处置所得税、期末残值相关税项、递延税、贷款利息和融资结构；本表的「税后」仅表示此简化税务口径。</t>
        </is>
      </c>
      <c r="B9" s="228" t="n"/>
      <c r="C9" s="228" t="n"/>
      <c r="D9" s="228" t="n"/>
      <c r="E9" s="228" t="n"/>
      <c r="F9" s="228" t="n"/>
      <c r="G9" s="228" t="n"/>
    </row>
    <row r="10" ht="56" customHeight="1" s="226">
      <c r="A10" s="267" t="inlineStr">
        <is>
          <t>08｜方案对比　「三选一对比」以自购方案推算的同一售出 Token 量为基准。租卡请填元/卡/小时报价；API 需单独填输入与输出元/百万 Token 的报价。不能用自售价格代替 API 采购报价。结果未统一计入所有方案的数据合规、稳定性与运维差异。</t>
        </is>
      </c>
      <c r="B10" s="228" t="n"/>
      <c r="C10" s="228" t="n"/>
      <c r="D10" s="228" t="n"/>
      <c r="E10" s="228" t="n"/>
      <c r="F10" s="228" t="n"/>
      <c r="G10" s="228" t="n"/>
    </row>
    <row r="11" ht="44" customHeight="1" s="226">
      <c r="A11" s="266" t="inlineStr">
        <is>
          <t>09｜指标含义　项目 IRR 是五年现金流的内部收益率；NPV 以自行填写的目标 IRR 折现；回收期为简化静态回收期。所有数字均来自用户输入情景，不能视为价格预测、盈利保证或投资建议。</t>
        </is>
      </c>
      <c r="B11" s="228" t="n"/>
      <c r="C11" s="228" t="n"/>
      <c r="D11" s="228" t="n"/>
      <c r="E11" s="228" t="n"/>
      <c r="F11" s="228" t="n"/>
      <c r="G11" s="228" t="n"/>
    </row>
    <row r="12" ht="44" customHeight="1" s="226">
      <c r="A12" s="267" t="inlineStr">
        <is>
          <t>10｜未涵盖的风险　带宽与网络流量、备机与故障、模型迭代换代、缓存命中、业务拓客成本、客户峰谷请求结构、吞吐变化、税收政策变化、数据安全与 SLA 等需要单独评估。</t>
        </is>
      </c>
      <c r="B12" s="228" t="n"/>
      <c r="C12" s="228" t="n"/>
      <c r="D12" s="228" t="n"/>
      <c r="E12" s="228" t="n"/>
      <c r="F12" s="228" t="n"/>
      <c r="G12" s="228" t="n"/>
    </row>
    <row r="13" ht="44" customHeight="1" s="226">
      <c r="A13" s="266" t="inlineStr">
        <is>
          <t>11｜使用提示　请保存自己的工作副本，并在内部标注每个报价的取得日期、币种、含税与否、性能测试条件和来源。公开版无预填示例数据，也不记录或上传你的填写内容。</t>
        </is>
      </c>
      <c r="B13" s="228" t="n"/>
      <c r="C13" s="228" t="n"/>
      <c r="D13" s="228" t="n"/>
      <c r="E13" s="228" t="n"/>
      <c r="F13" s="228" t="n"/>
      <c r="G13" s="228" t="n"/>
    </row>
    <row r="14" ht="44" customHeight="1" s="226">
      <c r="A14" s="268" t="inlineStr">
        <is>
          <t>创羽昀 CYY · yuyunai.cn｜GPU 算力经济性测算工具 Public v1.1（2026-10-14）</t>
        </is>
      </c>
      <c r="B14" s="228" t="n"/>
      <c r="C14" s="228" t="n"/>
      <c r="D14" s="228" t="n"/>
      <c r="E14" s="228" t="n"/>
      <c r="F14" s="228" t="n"/>
      <c r="G14" s="228" t="n"/>
    </row>
  </sheetData>
  <mergeCells count="13">
    <mergeCell ref="A13:G13"/>
    <mergeCell ref="A14:G14"/>
    <mergeCell ref="A1:G1"/>
    <mergeCell ref="A9:G9"/>
    <mergeCell ref="A8:G8"/>
    <mergeCell ref="A3:G3"/>
    <mergeCell ref="A6:G6"/>
    <mergeCell ref="A12:G12"/>
    <mergeCell ref="A4:G4"/>
    <mergeCell ref="A7:G7"/>
    <mergeCell ref="A11:G11"/>
    <mergeCell ref="A10:G10"/>
    <mergeCell ref="A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2026-10-15T09:54:46Z</dcterms:created>
  <dcterms:modified xmlns:dcterms="http://purl.org/dc/terms/" xmlns:xsi="http://www.w3.org/2001/XMLSchema-instance" xsi:type="dcterms:W3CDTF">2026-10-15T09:55:16Z</dcterms:modified>
</cp:coreProperties>
</file>